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mc:AlternateContent xmlns:mc="http://schemas.openxmlformats.org/markup-compatibility/2006">
    <mc:Choice Requires="x15">
      <x15ac:absPath xmlns:x15ac="http://schemas.microsoft.com/office/spreadsheetml/2010/11/ac" url="S:\EHLB\EHLB Staff Reports and Publications\_Papers &amp; Posters\IAQ 2020 IAQ paper on school ventilation &amp; filtration\Version for website posting\"/>
    </mc:Choice>
  </mc:AlternateContent>
  <xr:revisionPtr revIDLastSave="0" documentId="13_ncr:1_{C761229B-CAC8-4FD1-B9B7-62C6CC45B7A1}" xr6:coauthVersionLast="36" xr6:coauthVersionMax="36" xr10:uidLastSave="{00000000-0000-0000-0000-000000000000}"/>
  <workbookProtection workbookAlgorithmName="SHA-512" workbookHashValue="fWS7hYA26QCiCJ2AyzqR28sGH5s/QGVNHstgW/oEV60897zQfF6W3bSesVk6yggRyelykI36GZz/EXGBFH+PFw==" workbookSaltValue="q0WZ27JBE9/esZCDqJ0RVw==" workbookSpinCount="100000" lockStructure="1"/>
  <bookViews>
    <workbookView xWindow="0" yWindow="465" windowWidth="23400" windowHeight="13245" tabRatio="758" xr2:uid="{00000000-000D-0000-FFFF-FFFF00000000}"/>
  </bookViews>
  <sheets>
    <sheet name="Disclaimer" sheetId="15" r:id="rId1"/>
    <sheet name="Model Outputs" sheetId="16" r:id="rId2"/>
    <sheet name="Simplified User Inputs" sheetId="4" r:id="rId3"/>
    <sheet name="Other Default Inputs" sheetId="8" r:id="rId4"/>
    <sheet name="Other Calculations" sheetId="18" r:id="rId5"/>
    <sheet name="Simplified MERV Table " sheetId="7" r:id="rId6"/>
    <sheet name="Data Source for MERV Table" sheetId="19" r:id="rId7"/>
    <sheet name="Reference Case Definition" sheetId="14"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6" i="14" l="1"/>
  <c r="C5" i="18" l="1"/>
  <c r="N3" i="7"/>
  <c r="M3" i="7"/>
  <c r="J4" i="7"/>
  <c r="I4" i="7"/>
  <c r="J3" i="7"/>
  <c r="I3" i="7"/>
  <c r="G4" i="7"/>
  <c r="G3" i="7"/>
  <c r="C11" i="18"/>
  <c r="C25" i="14" s="1"/>
  <c r="C3" i="18"/>
  <c r="C8" i="18" s="1"/>
  <c r="C6" i="18"/>
  <c r="C4" i="18"/>
  <c r="C12" i="18" l="1"/>
  <c r="C13" i="18" s="1"/>
  <c r="C7" i="14" l="1"/>
  <c r="C27" i="14" l="1"/>
  <c r="C26" i="14"/>
  <c r="C23" i="14"/>
  <c r="C24" i="14"/>
  <c r="C22" i="14"/>
  <c r="C19" i="14"/>
  <c r="C11" i="14"/>
  <c r="C10" i="14"/>
  <c r="C5" i="14"/>
  <c r="C3" i="14"/>
  <c r="C4" i="14" s="1"/>
  <c r="C9" i="14"/>
  <c r="C6" i="14"/>
  <c r="C28" i="14" l="1"/>
  <c r="C29" i="14" s="1"/>
  <c r="C33" i="14" s="1"/>
  <c r="C17" i="14"/>
  <c r="C18" i="14"/>
  <c r="C20" i="14" s="1"/>
  <c r="C21" i="14" s="1"/>
  <c r="C34" i="14" l="1"/>
  <c r="C35" i="14"/>
  <c r="C15" i="18"/>
  <c r="C14" i="18"/>
  <c r="K3" i="7" l="1"/>
  <c r="L3" i="7" s="1"/>
  <c r="H4" i="7"/>
  <c r="H3" i="7"/>
  <c r="C14" i="14" l="1"/>
  <c r="C13" i="14"/>
  <c r="R5" i="7"/>
  <c r="Q5" i="7"/>
  <c r="P5" i="7"/>
  <c r="O5" i="7"/>
  <c r="N5" i="7"/>
  <c r="M5" i="7"/>
  <c r="L5" i="7"/>
  <c r="K5" i="7"/>
  <c r="J5" i="7"/>
  <c r="C16" i="18" s="1"/>
  <c r="I5" i="7"/>
  <c r="H5" i="7"/>
  <c r="G5" i="7"/>
  <c r="F5" i="7"/>
  <c r="E5" i="7"/>
  <c r="D5" i="7"/>
  <c r="C5" i="7"/>
  <c r="R4" i="7"/>
  <c r="Q4" i="7"/>
  <c r="P4" i="7"/>
  <c r="O4" i="7"/>
  <c r="N4" i="7"/>
  <c r="M4" i="7"/>
  <c r="L4" i="7"/>
  <c r="K4" i="7"/>
  <c r="R3" i="7"/>
  <c r="Q3" i="7"/>
  <c r="P3" i="7"/>
  <c r="O3" i="7"/>
  <c r="C15" i="14" l="1"/>
  <c r="C40" i="14" s="1"/>
  <c r="C12" i="14"/>
  <c r="C36" i="14" l="1"/>
  <c r="B4" i="16" l="1"/>
  <c r="C22" i="18" l="1"/>
  <c r="C7" i="18"/>
  <c r="C23" i="18"/>
  <c r="C21" i="18"/>
  <c r="C9" i="18"/>
  <c r="C10" i="18" s="1"/>
  <c r="C17" i="18" l="1"/>
  <c r="C18" i="18"/>
  <c r="C19" i="18"/>
  <c r="C24" i="18"/>
  <c r="C20" i="18" l="1"/>
  <c r="B3" i="16" s="1"/>
  <c r="B5" i="16" s="1"/>
</calcChain>
</file>

<file path=xl/sharedStrings.xml><?xml version="1.0" encoding="utf-8"?>
<sst xmlns="http://schemas.openxmlformats.org/spreadsheetml/2006/main" count="478" uniqueCount="177">
  <si>
    <t>m</t>
  </si>
  <si>
    <t>Parameter</t>
  </si>
  <si>
    <t>1/h</t>
  </si>
  <si>
    <t>Room height (H)</t>
  </si>
  <si>
    <t>Room volume (V)</t>
  </si>
  <si>
    <t>person</t>
  </si>
  <si>
    <t>L/s-person</t>
  </si>
  <si>
    <t>Total supply air flow rate</t>
  </si>
  <si>
    <t xml:space="preserve">Pulmonary ventilation rate of a person </t>
  </si>
  <si>
    <t xml:space="preserve">Exposure time </t>
  </si>
  <si>
    <t>h</t>
  </si>
  <si>
    <t xml:space="preserve">Number of infected individuals  </t>
  </si>
  <si>
    <t xml:space="preserve">Number of susceptible individuals </t>
  </si>
  <si>
    <t xml:space="preserve">Deposition rate for size bin of 0.3-1 μm </t>
  </si>
  <si>
    <t xml:space="preserve">Deposition rate for size bin of 1 - 3 μm </t>
  </si>
  <si>
    <t xml:space="preserve">Deposition rate for size bin of 3 - 10 μm </t>
  </si>
  <si>
    <t>Combined deposition removal rate for infectious particles</t>
  </si>
  <si>
    <t xml:space="preserve">Filtration efficiency for size bin of 0.3-1 μm </t>
  </si>
  <si>
    <t xml:space="preserve">Filtration efficiency  for size bin of 1 - 3 μm </t>
  </si>
  <si>
    <t xml:space="preserve">Filtration efficiency  for size bin of 3 - 10 μm </t>
  </si>
  <si>
    <t xml:space="preserve">Filtration removal rate for size bin of 0.3-1 μm </t>
  </si>
  <si>
    <t xml:space="preserve">Filtration removal rate for size bin of 1 - 3 μm </t>
  </si>
  <si>
    <t xml:space="preserve">Filtration removal rate for size bin of 3 - 10 μm </t>
  </si>
  <si>
    <t>If not known, use school bell schedule</t>
  </si>
  <si>
    <t>If not known, assume 1</t>
  </si>
  <si>
    <t>Category</t>
  </si>
  <si>
    <t>Units</t>
  </si>
  <si>
    <t>Note</t>
  </si>
  <si>
    <t>User input</t>
  </si>
  <si>
    <t>Classroom dimensions</t>
  </si>
  <si>
    <t xml:space="preserve">Enter 1 if Yes;  Or 0 if No </t>
  </si>
  <si>
    <t>Removal by surface deposition</t>
  </si>
  <si>
    <t>Removal by HVAC filter</t>
  </si>
  <si>
    <t>Enter 0 if no filter/filter rating;  Or enter 1 - 16 for MERV 1 - 16 filter</t>
  </si>
  <si>
    <t>Characteristics of the virus</t>
  </si>
  <si>
    <t xml:space="preserve">MERV rating </t>
  </si>
  <si>
    <t>CADR for dust (0.5 - 3 μm)</t>
  </si>
  <si>
    <t>CADR for pollen (5 - 11 μm)</t>
  </si>
  <si>
    <t>Combined HVAC filter removal rate for infectious particles</t>
  </si>
  <si>
    <t>Combined portable air cleaner removal rate for infectious particles</t>
  </si>
  <si>
    <t xml:space="preserve">Air cleaner removal rate for size bin of 0.09-1 μm </t>
  </si>
  <si>
    <t xml:space="preserve">Air cleaner removal rate for size bin of 0.5 -3 μm </t>
  </si>
  <si>
    <t xml:space="preserve">Air cleaner removal rate for size bin of 5 -11 μm </t>
  </si>
  <si>
    <t>CADR for tobacco smoke (0.09 -1 μm)</t>
  </si>
  <si>
    <t>Ventilation Rate (VR) per person</t>
  </si>
  <si>
    <t xml:space="preserve">Filtration efficiency (%) for  0.1 μm </t>
  </si>
  <si>
    <t xml:space="preserve">Filtration efficiency (%) for  0.3 μm </t>
  </si>
  <si>
    <t xml:space="preserve">Filtration efficiency (%) for  1 μm </t>
  </si>
  <si>
    <t xml:space="preserve">Filtration efficiency (%) for  3 μm </t>
  </si>
  <si>
    <t xml:space="preserve">Filtration efficiency (%) for  10 μm </t>
  </si>
  <si>
    <t>Total number of non-susceptible occupants (e.g., current infection or immune (previous recovery or vaccination))</t>
  </si>
  <si>
    <t>Consider wearing mask for reducing virus-loaded particles escape from the infected individual?</t>
  </si>
  <si>
    <t>Quanta generation rate - original</t>
  </si>
  <si>
    <t>Quanta generation rate - including effect of wearing mask</t>
  </si>
  <si>
    <t>Default input value = 50%</t>
  </si>
  <si>
    <t xml:space="preserve">Infectious particles in size bin of 0.3-1 μm </t>
  </si>
  <si>
    <t xml:space="preserve">Infectious particles in size bin of 1 - 3 μm </t>
  </si>
  <si>
    <t xml:space="preserve">Infectious particles in size bin of 3 - 10 μm </t>
  </si>
  <si>
    <t xml:space="preserve">Infectious particles in size bin of 0.09 -1 μm </t>
  </si>
  <si>
    <t xml:space="preserve">Infectious particles in size bin of 0.5 - 3 μm </t>
  </si>
  <si>
    <t xml:space="preserve">Infectious particles in size bin of 5 - 11 μm </t>
  </si>
  <si>
    <t>Fractional operation time of HVAC system</t>
  </si>
  <si>
    <t>Default input value = 100%</t>
  </si>
  <si>
    <t>Simplified MERV Table</t>
  </si>
  <si>
    <t>Percentage reduction of quanta generation rate due to wearing mask</t>
  </si>
  <si>
    <t>Total supply air flow (in ACH)</t>
  </si>
  <si>
    <t>Fraction of recirculated air in the total supply airflow</t>
  </si>
  <si>
    <t>Default input value = 3 m</t>
  </si>
  <si>
    <t>Default input value = 6 ACH</t>
  </si>
  <si>
    <t>Removal by ventilation and infiltration</t>
  </si>
  <si>
    <t>Ventilation rate (Q_ventilation) - Final</t>
  </si>
  <si>
    <t xml:space="preserve">Infiltration rate (Q_infiltration) </t>
  </si>
  <si>
    <t>Air change rate due to infiltration</t>
  </si>
  <si>
    <t>Air change rate due to ventilation</t>
  </si>
  <si>
    <t>If not known, assume same as the number of infected individuals</t>
  </si>
  <si>
    <t>Assume a total of 100% covering 0.3 - 10 μm; Default input values = 20%, 30% and 50% for infectious particles in size bins of  0.3-1 μm, 1 - 3 μm, and 3 - 10 μm, respectively.</t>
  </si>
  <si>
    <t xml:space="preserve">Automatically linked to "Simplified MERV Table" using the filter MERV rating that a user enters in "Simplified User Inputs" </t>
  </si>
  <si>
    <t>Calculated based on the CADRs that a user enters in "Simplified User Inputs", assuming portable air cleaner(s) run continuously when the classroom is occupied.</t>
  </si>
  <si>
    <t>MERV Rating</t>
  </si>
  <si>
    <t>Removal by portable (in-room) air cleaner</t>
  </si>
  <si>
    <t>Assume MERV 8 HVAC filter for the reference case</t>
  </si>
  <si>
    <t>Assume no portable air cleaner for the reference case</t>
  </si>
  <si>
    <t>Probability of infection for reference case</t>
  </si>
  <si>
    <t>Relative infection risk                                                         (compared to the reference case)</t>
  </si>
  <si>
    <t>Probability of infection for simulated case</t>
  </si>
  <si>
    <t xml:space="preserve">Sum of ventilation and infiltration rate </t>
  </si>
  <si>
    <t xml:space="preserve">Air change rate due to ventilation + infiltration </t>
  </si>
  <si>
    <t>Assume no mask-wearing for the reference case</t>
  </si>
  <si>
    <t>Appendix 3  Interactive Model  (Version 1.0)</t>
  </si>
  <si>
    <t>n/a</t>
  </si>
  <si>
    <t xml:space="preserve">Classroom size </t>
  </si>
  <si>
    <t>Classroom occupancy</t>
  </si>
  <si>
    <t xml:space="preserve">IAQ control measures - Source control </t>
  </si>
  <si>
    <t xml:space="preserve">IAQ control measures - Ventilation  </t>
  </si>
  <si>
    <t>IAQ control measures - HVAC filter</t>
  </si>
  <si>
    <t>IAQ control measures - Portable air cleaner</t>
  </si>
  <si>
    <t xml:space="preserve">IAQ control measures - Portable air cleaner </t>
  </si>
  <si>
    <t>Occupant related</t>
  </si>
  <si>
    <t>Assume VR = 7 L/s-person (Title 24 code required minimum for the classroom defined) for the reference case</t>
  </si>
  <si>
    <t>Filtration efficiency (%) for size bin of 0.3-1 μm</t>
  </si>
  <si>
    <t>Filtration efficiency (%) for size bin of 1 - 3 μm</t>
  </si>
  <si>
    <t xml:space="preserve">Filtration efficiency (%) for size bin of 3 - 10 μm </t>
  </si>
  <si>
    <t>Probability of infection given current inputs in this file</t>
  </si>
  <si>
    <t>Percent infection risk for simulated case compared to the reference case</t>
  </si>
  <si>
    <t>Output</t>
  </si>
  <si>
    <t>Notes</t>
  </si>
  <si>
    <t>Model Outputs as Seen by End Users</t>
  </si>
  <si>
    <t xml:space="preserve">Probability of infection given for the reference case. The IAQ control measures for the reference case are:  Code-required minimum ventilation (VR= 7 L/s-person) + MERV 8 filter + No mask + No portable air cleaner. All other parameters used for the reference case are the same as those for the scenario case simulated.                </t>
  </si>
  <si>
    <r>
      <t>m</t>
    </r>
    <r>
      <rPr>
        <vertAlign val="superscript"/>
        <sz val="12"/>
        <color theme="1"/>
        <rFont val="Arial"/>
        <family val="2"/>
      </rPr>
      <t>2</t>
    </r>
  </si>
  <si>
    <r>
      <t>m</t>
    </r>
    <r>
      <rPr>
        <vertAlign val="superscript"/>
        <sz val="12"/>
        <color theme="1"/>
        <rFont val="Arial"/>
        <family val="2"/>
      </rPr>
      <t>3</t>
    </r>
    <r>
      <rPr>
        <sz val="12"/>
        <color theme="1"/>
        <rFont val="Arial"/>
        <family val="2"/>
      </rPr>
      <t>/h</t>
    </r>
  </si>
  <si>
    <r>
      <t xml:space="preserve">Enter 0 if no portable air cleaner;  Or enter </t>
    </r>
    <r>
      <rPr>
        <b/>
        <i/>
        <sz val="12"/>
        <color theme="1"/>
        <rFont val="Arial"/>
        <family val="2"/>
      </rPr>
      <t xml:space="preserve">total </t>
    </r>
    <r>
      <rPr>
        <sz val="12"/>
        <color theme="1"/>
        <rFont val="Arial"/>
        <family val="2"/>
      </rPr>
      <t>CADR in m</t>
    </r>
    <r>
      <rPr>
        <vertAlign val="superscript"/>
        <sz val="12"/>
        <color theme="1"/>
        <rFont val="Arial"/>
        <family val="2"/>
      </rPr>
      <t>3</t>
    </r>
    <r>
      <rPr>
        <sz val="12"/>
        <color theme="1"/>
        <rFont val="Arial"/>
        <family val="2"/>
      </rPr>
      <t>/h (i.e., CADR for tobacco smoke, dust and pollen as provided by the manufacturer times the total number of portable air cleaners in classroom)</t>
    </r>
  </si>
  <si>
    <t>Value Used for Reference Case</t>
  </si>
  <si>
    <t xml:space="preserve">Ventilation rate (Q_ventilation) </t>
  </si>
  <si>
    <t>%</t>
  </si>
  <si>
    <t xml:space="preserve">Room floor area </t>
  </si>
  <si>
    <t>Room occupancy</t>
  </si>
  <si>
    <r>
      <rPr>
        <b/>
        <sz val="12"/>
        <rFont val="Arial"/>
        <family val="2"/>
      </rPr>
      <t xml:space="preserve">Other inputs with detailed knowledge of building operations and airborne transmission: </t>
    </r>
    <r>
      <rPr>
        <b/>
        <sz val="12"/>
        <color rgb="FF0070C0"/>
        <rFont val="Arial"/>
        <family val="2"/>
      </rPr>
      <t>Blue - User inputs</t>
    </r>
  </si>
  <si>
    <r>
      <t>Default input value = 0.5 m</t>
    </r>
    <r>
      <rPr>
        <vertAlign val="superscript"/>
        <sz val="12"/>
        <color theme="1"/>
        <rFont val="Arial"/>
        <family val="2"/>
      </rPr>
      <t>3</t>
    </r>
    <r>
      <rPr>
        <sz val="12"/>
        <color theme="1"/>
        <rFont val="Arial"/>
        <family val="2"/>
      </rPr>
      <t xml:space="preserve">/h </t>
    </r>
  </si>
  <si>
    <r>
      <t>h</t>
    </r>
    <r>
      <rPr>
        <vertAlign val="superscript"/>
        <sz val="12"/>
        <color theme="1"/>
        <rFont val="Arial"/>
        <family val="2"/>
      </rPr>
      <t>-1</t>
    </r>
  </si>
  <si>
    <r>
      <t>Default input value = 1 h</t>
    </r>
    <r>
      <rPr>
        <vertAlign val="superscript"/>
        <sz val="12"/>
        <color theme="1"/>
        <rFont val="Arial"/>
        <family val="2"/>
      </rPr>
      <t>-1</t>
    </r>
  </si>
  <si>
    <r>
      <t>Default value = 0.2 h</t>
    </r>
    <r>
      <rPr>
        <vertAlign val="superscript"/>
        <sz val="12"/>
        <color theme="1"/>
        <rFont val="Arial"/>
        <family val="2"/>
      </rPr>
      <t>-1</t>
    </r>
  </si>
  <si>
    <r>
      <rPr>
        <b/>
        <sz val="12"/>
        <rFont val="Arial"/>
        <family val="2"/>
      </rPr>
      <t>Model calculations based on users inputs and simplified MERV table:</t>
    </r>
    <r>
      <rPr>
        <b/>
        <sz val="12"/>
        <color rgb="FFC00000"/>
        <rFont val="Arial"/>
        <family val="2"/>
      </rPr>
      <t xml:space="preserve"> Red - Model calculated</t>
    </r>
  </si>
  <si>
    <r>
      <t>m</t>
    </r>
    <r>
      <rPr>
        <vertAlign val="superscript"/>
        <sz val="12"/>
        <color theme="1"/>
        <rFont val="Arial"/>
        <family val="2"/>
      </rPr>
      <t>3</t>
    </r>
  </si>
  <si>
    <r>
      <t>h</t>
    </r>
    <r>
      <rPr>
        <vertAlign val="superscript"/>
        <sz val="12"/>
        <color theme="1"/>
        <rFont val="Arial"/>
        <family val="2"/>
      </rPr>
      <t>-1</t>
    </r>
    <r>
      <rPr>
        <sz val="11"/>
        <color theme="1"/>
        <rFont val="Calibri"/>
        <family val="2"/>
        <scheme val="minor"/>
      </rPr>
      <t/>
    </r>
  </si>
  <si>
    <r>
      <rPr>
        <b/>
        <sz val="12"/>
        <rFont val="Arial"/>
        <family val="2"/>
      </rPr>
      <t>Reference Case:  Code-required minimum VR + MERV 8 filter + No mask + No portable air cleaner</t>
    </r>
    <r>
      <rPr>
        <b/>
        <sz val="12"/>
        <color rgb="FFC00000"/>
        <rFont val="Arial"/>
        <family val="2"/>
      </rPr>
      <t xml:space="preserve">                                          </t>
    </r>
  </si>
  <si>
    <r>
      <t>m</t>
    </r>
    <r>
      <rPr>
        <vertAlign val="superscript"/>
        <sz val="12"/>
        <rFont val="Arial"/>
        <family val="2"/>
      </rPr>
      <t>3</t>
    </r>
    <r>
      <rPr>
        <sz val="12"/>
        <rFont val="Arial"/>
        <family val="2"/>
      </rPr>
      <t>/h</t>
    </r>
  </si>
  <si>
    <r>
      <t>h</t>
    </r>
    <r>
      <rPr>
        <vertAlign val="superscript"/>
        <sz val="12"/>
        <rFont val="Arial"/>
        <family val="2"/>
      </rPr>
      <t>-1</t>
    </r>
    <r>
      <rPr>
        <sz val="11"/>
        <color theme="1"/>
        <rFont val="Calibri"/>
        <family val="2"/>
        <scheme val="minor"/>
      </rPr>
      <t/>
    </r>
  </si>
  <si>
    <t>no data</t>
  </si>
  <si>
    <t>0</t>
  </si>
  <si>
    <t>1</t>
  </si>
  <si>
    <t>2</t>
  </si>
  <si>
    <t>3</t>
  </si>
  <si>
    <t>4</t>
  </si>
  <si>
    <t>5</t>
  </si>
  <si>
    <t>6</t>
  </si>
  <si>
    <t>7</t>
  </si>
  <si>
    <t>8</t>
  </si>
  <si>
    <t>9</t>
  </si>
  <si>
    <t>10</t>
  </si>
  <si>
    <t>11</t>
  </si>
  <si>
    <t>12</t>
  </si>
  <si>
    <t>13</t>
  </si>
  <si>
    <t>14</t>
  </si>
  <si>
    <t>15</t>
  </si>
  <si>
    <t>16</t>
  </si>
  <si>
    <t>not applicable</t>
  </si>
  <si>
    <t xml:space="preserve">Note: ASHRAE 52.2-2017 Table J-2 was used first. To be conservative, we used the lower bound of the minimum composite average particle size removal efficiencies specified in ASHRAE 52.2 Table J-2 (i.e., apply to MERV 14–16 filters for 0.3–1 μm particles, MERV 10–16 filters for 1–3 μm particles, and MERV 5–16 filters for 3–10 μm particles). We also assumed a filtration efficiency of 65% for MERV 13 for 0.3–1 μm particles, 40% for MERV 9 for 1–3 μm particles, and 10% for MERV 1–4 filters for 3–10 μm particles. For low MERV-rating filters that do not have removal efficiencies specified in ASHRAE 52.2 Table J-2 (i.e., MERV 1–12 filters for 0.3–1 μm particles, and MERV 1–8 filters for 1–3 μm particles), we used the 50th percentile of the cumulative filtration efficiency distributions (P50%) from Dillon and Sextro (2020) and further divided them by a factor of three to make a conservative estimate. For filters of MERV 1–12, we used the average of P50% for 0.3 and 1 μm - for particles in the size range of 0.3–1 μm. For filters of MERV 1–8, we used the average of P50% for 1 and 3 μm for particles of 1–3 μm. If P50% was not given for a specific MERV rating filter (i.e., MERV 1–4, 6, 9 and 10), we used the value for the closest lower MERV-rating filter. </t>
  </si>
  <si>
    <t>Data source: ASHRAE 52.2-2017 Table J-2 &amp; Table 10 from Dillon and Sextro (2020)</t>
  </si>
  <si>
    <t xml:space="preserve">Dillon, M.B. and R.G. Sextro, Reducing Exposures to Airborne Particles Through Improved Filtration: A High-Level Modeling Analysis. medRxiv, 2020. </t>
  </si>
  <si>
    <t>ASHRAE 52.2-2017 Table J-2, Standard 52.2: Method of Testing General Ventilation Air-Cleaning Devices for Removal Efficiency by Particle Size. 2017, American Society of Heating, Refrigerating, and Air-Conditioning Engineers: Atlanta, GA.</t>
  </si>
  <si>
    <t>Calculated from VR and Room Volume</t>
  </si>
  <si>
    <t>Calculated from User inputs and Default inputs</t>
  </si>
  <si>
    <t>Calculated from User inputs</t>
  </si>
  <si>
    <t>Calculated from Default inputs and Room Volume</t>
  </si>
  <si>
    <t>Calculated from VR and Infiltration Rate</t>
  </si>
  <si>
    <t>Calculated from Default Inputs</t>
  </si>
  <si>
    <t>Calculated from VR and Total supply air flow rate</t>
  </si>
  <si>
    <t>Enter the floor area of the simulated classroom</t>
  </si>
  <si>
    <t>Enter the number of occupants</t>
  </si>
  <si>
    <r>
      <rPr>
        <sz val="12"/>
        <rFont val="Arial"/>
        <family val="2"/>
      </rPr>
      <t>Enter VR per person. For example, Title 24  code-required minimum outdoor air ventilation rates (VRs) for classrooms (age 9+)</t>
    </r>
    <r>
      <rPr>
        <sz val="12"/>
        <color theme="1"/>
        <rFont val="Arial"/>
        <family val="2"/>
      </rPr>
      <t xml:space="preserve"> are 7 L/s-person (15 CFM/person) or 1.93 L/s-m</t>
    </r>
    <r>
      <rPr>
        <vertAlign val="superscript"/>
        <sz val="12"/>
        <color theme="1"/>
        <rFont val="Arial"/>
        <family val="2"/>
      </rPr>
      <t>2</t>
    </r>
    <r>
      <rPr>
        <sz val="12"/>
        <color theme="1"/>
        <rFont val="Arial"/>
        <family val="2"/>
      </rPr>
      <t xml:space="preserve"> (0.38 CFM/ft</t>
    </r>
    <r>
      <rPr>
        <vertAlign val="superscript"/>
        <sz val="12"/>
        <color theme="1"/>
        <rFont val="Arial"/>
        <family val="2"/>
      </rPr>
      <t>2</t>
    </r>
    <r>
      <rPr>
        <sz val="12"/>
        <color theme="1"/>
        <rFont val="Arial"/>
        <family val="2"/>
      </rPr>
      <t xml:space="preserve">),whichever is larger. If VR is given in other format, convert it to equivalent VR per person first before entering.    </t>
    </r>
  </si>
  <si>
    <t>Assume a total of 100% covering 0.09 - 11 μm; Default input values = 20%, 30% and 50% for infectious particles in size bins of  0.09 -1 μm, 0.5 - 3 μm, and 5 - 11 μm, respectively. Used when evaluating the removal rate by portable air cleaner.</t>
  </si>
  <si>
    <r>
      <t xml:space="preserve"> Assume the same particle size bins as those used for HVAC filter MERV ratings to simplify the calculation. Default input values = 0.14 h</t>
    </r>
    <r>
      <rPr>
        <vertAlign val="superscript"/>
        <sz val="12"/>
        <color theme="1"/>
        <rFont val="Arial"/>
        <family val="2"/>
      </rPr>
      <t>-1</t>
    </r>
    <r>
      <rPr>
        <sz val="12"/>
        <color theme="1"/>
        <rFont val="Arial"/>
        <family val="2"/>
      </rPr>
      <t>, 0.29 h</t>
    </r>
    <r>
      <rPr>
        <vertAlign val="superscript"/>
        <sz val="12"/>
        <color theme="1"/>
        <rFont val="Arial"/>
        <family val="2"/>
      </rPr>
      <t>-1</t>
    </r>
    <r>
      <rPr>
        <sz val="12"/>
        <color theme="1"/>
        <rFont val="Arial"/>
        <family val="2"/>
      </rPr>
      <t xml:space="preserve"> and 0.91 h</t>
    </r>
    <r>
      <rPr>
        <vertAlign val="superscript"/>
        <sz val="12"/>
        <color theme="1"/>
        <rFont val="Arial"/>
        <family val="2"/>
      </rPr>
      <t>-1</t>
    </r>
    <r>
      <rPr>
        <sz val="12"/>
        <color theme="1"/>
        <rFont val="Arial"/>
        <family val="2"/>
      </rPr>
      <t xml:space="preserve"> for infectious particles in size bins of  0.3-1 μm, 1 - 3 μm, and 3 - 10 μm, respectively. </t>
    </r>
  </si>
  <si>
    <t xml:space="preserve">Calculated as the product of recirculated airflow rate, filter efficiency, and the fractional operation time of HVAC system, assuming  average indoor concentration of infectious particles in the recirculated air entering the filter   </t>
  </si>
  <si>
    <t xml:space="preserve">Calculated as the product of recirculated airflow rate, filter efficiency, and the fractional operation time of HVAC system, assuming  average indoor concentration of infectious particles in the recirculated air entering the filter  </t>
  </si>
  <si>
    <t xml:space="preserve">Calculated as the product of recirculated airflow rate, filter efficiency, and the fractional operation time of HVAC system, assuming  average indoor concentration of infectious particles in the recirculated air entering the filter </t>
  </si>
  <si>
    <t>Calculated from User inputs and Default inputs taken from the simulated case</t>
  </si>
  <si>
    <t xml:space="preserve"> Default input taken from the simulated case</t>
  </si>
  <si>
    <t>User input taken from the simulated case</t>
  </si>
  <si>
    <t>Calculated from air change rate due to infiltration and Room Volume</t>
  </si>
  <si>
    <t>Calculated from Default Inputs taken from the simulated case</t>
  </si>
  <si>
    <t>Calculated from air cleaner removal rates for the three size bins</t>
  </si>
  <si>
    <t>Calculated from Filtration removal rates for the three size bins</t>
  </si>
  <si>
    <t>Calculated from sum of VR/Infiltration Rate and Room Volume</t>
  </si>
  <si>
    <t xml:space="preserve">User input </t>
  </si>
  <si>
    <t>Model calculated value</t>
  </si>
  <si>
    <r>
      <t>Simplified Model Inputs by End Users:</t>
    </r>
    <r>
      <rPr>
        <b/>
        <sz val="12"/>
        <color rgb="FF0070C0"/>
        <rFont val="Arial"/>
        <family val="2"/>
      </rPr>
      <t xml:space="preserve"> Blue - User inputs</t>
    </r>
  </si>
  <si>
    <r>
      <t xml:space="preserve">Disclaimer:  This model, including the choice of default input values, is based on our best scientific knowledge, professional judgements, and the information currently available. The model is for illustrative purposes only. It provides rough estimates of the reduction of relative infection risk due to long-range, airborne viral transmission, based on the inputs that a user enters in </t>
    </r>
    <r>
      <rPr>
        <sz val="12"/>
        <color rgb="FF0070C0"/>
        <rFont val="Arial"/>
        <family val="2"/>
      </rPr>
      <t>Blue</t>
    </r>
    <r>
      <rPr>
        <sz val="12"/>
        <color theme="1"/>
        <rFont val="Arial"/>
        <family val="2"/>
      </rPr>
      <t xml:space="preserve"> cells and using simplified hypothetical scenarios. For details of model description, assumptions and limitations, see the main document.  Note that the formats of these interactive spreadsheets are slightly different from those described in the section of "Model Implementation" in the main document in order to be ADA-compliant.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</si>
</sst>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x14ac:knownFonts="1">
    <font>
      <sz val="11"/>
      <color theme="1"/>
      <name val="Calibri"/>
      <family val="2"/>
      <scheme val="minor"/>
    </font>
    <font>
      <b/>
      <sz val="11"/>
      <color rgb="FFFA7D00"/>
      <name val="Calibri"/>
      <family val="2"/>
      <scheme val="minor"/>
    </font>
    <font>
      <sz val="10"/>
      <color rgb="FF000000"/>
      <name val="Arial"/>
    </font>
    <font>
      <sz val="10"/>
      <color theme="1"/>
      <name val="Arial"/>
      <family val="2"/>
    </font>
    <font>
      <sz val="12"/>
      <color theme="1"/>
      <name val="Arial"/>
      <family val="2"/>
    </font>
    <font>
      <sz val="20"/>
      <color theme="1"/>
      <name val="Arial"/>
      <family val="2"/>
    </font>
    <font>
      <sz val="11"/>
      <color theme="1"/>
      <name val="Arial"/>
      <family val="2"/>
    </font>
    <font>
      <sz val="11"/>
      <color theme="0"/>
      <name val="Arial"/>
      <family val="2"/>
    </font>
    <font>
      <b/>
      <sz val="11"/>
      <color theme="0"/>
      <name val="Arial"/>
      <family val="2"/>
    </font>
    <font>
      <b/>
      <sz val="12"/>
      <color theme="1"/>
      <name val="Arial"/>
      <family val="2"/>
    </font>
    <font>
      <b/>
      <sz val="12"/>
      <name val="Arial"/>
      <family val="2"/>
    </font>
    <font>
      <b/>
      <sz val="12"/>
      <color rgb="FF0070C0"/>
      <name val="Arial"/>
      <family val="2"/>
    </font>
    <font>
      <sz val="10"/>
      <name val="Arial"/>
      <family val="2"/>
    </font>
    <font>
      <sz val="10"/>
      <color theme="1"/>
      <name val="Calibri"/>
      <family val="2"/>
      <scheme val="minor"/>
    </font>
    <font>
      <sz val="12"/>
      <name val="Arial"/>
      <family val="2"/>
    </font>
    <font>
      <vertAlign val="superscript"/>
      <sz val="12"/>
      <color theme="1"/>
      <name val="Arial"/>
      <family val="2"/>
    </font>
    <font>
      <b/>
      <i/>
      <sz val="12"/>
      <color theme="1"/>
      <name val="Arial"/>
      <family val="2"/>
    </font>
    <font>
      <sz val="12"/>
      <color theme="1"/>
      <name val="Calibri"/>
      <family val="2"/>
      <scheme val="minor"/>
    </font>
    <font>
      <b/>
      <sz val="12"/>
      <color rgb="FFC00000"/>
      <name val="Arial"/>
      <family val="2"/>
    </font>
    <font>
      <sz val="12"/>
      <color rgb="FFC00000"/>
      <name val="Arial"/>
      <family val="2"/>
    </font>
    <font>
      <sz val="12"/>
      <color rgb="FFC00000"/>
      <name val="Calibri"/>
      <family val="2"/>
      <scheme val="minor"/>
    </font>
    <font>
      <sz val="12"/>
      <color theme="0"/>
      <name val="Arial"/>
      <family val="2"/>
    </font>
    <font>
      <vertAlign val="superscript"/>
      <sz val="12"/>
      <name val="Arial"/>
      <family val="2"/>
    </font>
    <font>
      <sz val="12"/>
      <color rgb="FF0070C0"/>
      <name val="Arial"/>
      <family val="2"/>
    </font>
  </fonts>
  <fills count="7">
    <fill>
      <patternFill patternType="none"/>
    </fill>
    <fill>
      <patternFill patternType="gray125"/>
    </fill>
    <fill>
      <patternFill patternType="solid">
        <fgColor rgb="FFF2F2F2"/>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s>
  <cellStyleXfs count="3">
    <xf numFmtId="0" fontId="0" fillId="0" borderId="0"/>
    <xf numFmtId="0" fontId="1" fillId="2" borderId="1" applyNumberFormat="0" applyAlignment="0" applyProtection="0"/>
    <xf numFmtId="0" fontId="2" fillId="0" borderId="0"/>
  </cellStyleXfs>
  <cellXfs count="108">
    <xf numFmtId="0" fontId="0" fillId="0" borderId="0" xfId="0"/>
    <xf numFmtId="0" fontId="0"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vertical="center"/>
    </xf>
    <xf numFmtId="0" fontId="6" fillId="0" borderId="0" xfId="0" applyFont="1" applyAlignment="1">
      <alignment horizontal="center" vertical="center" wrapText="1"/>
    </xf>
    <xf numFmtId="0" fontId="6" fillId="0" borderId="0" xfId="0" applyFont="1"/>
    <xf numFmtId="0" fontId="7" fillId="0" borderId="0" xfId="0" applyFont="1" applyFill="1" applyBorder="1" applyAlignment="1">
      <alignment horizontal="center" vertical="center" wrapText="1"/>
    </xf>
    <xf numFmtId="0" fontId="7" fillId="0" borderId="0" xfId="0" applyFont="1" applyBorder="1" applyAlignment="1">
      <alignment horizontal="center" vertical="center" wrapText="1"/>
    </xf>
    <xf numFmtId="164" fontId="10" fillId="5" borderId="2" xfId="1" applyNumberFormat="1" applyFont="1" applyFill="1" applyBorder="1" applyAlignment="1">
      <alignment horizontal="center" vertical="center" wrapText="1"/>
    </xf>
    <xf numFmtId="1" fontId="10" fillId="5" borderId="2" xfId="0" applyNumberFormat="1" applyFont="1" applyFill="1" applyBorder="1" applyAlignment="1">
      <alignment horizontal="center" vertical="center" wrapText="1"/>
    </xf>
    <xf numFmtId="0" fontId="4" fillId="0" borderId="0" xfId="0" applyFont="1"/>
    <xf numFmtId="0" fontId="3" fillId="0" borderId="0" xfId="0" applyFont="1"/>
    <xf numFmtId="0" fontId="12" fillId="0" borderId="7" xfId="0" applyFont="1" applyBorder="1" applyAlignment="1">
      <alignment horizontal="left" vertical="center" wrapText="1"/>
    </xf>
    <xf numFmtId="0" fontId="13" fillId="0" borderId="0" xfId="0" applyFont="1"/>
    <xf numFmtId="0" fontId="4" fillId="0" borderId="2" xfId="0" applyFont="1" applyBorder="1" applyAlignment="1">
      <alignment horizontal="center" vertical="center" wrapText="1"/>
    </xf>
    <xf numFmtId="0" fontId="14" fillId="0" borderId="2" xfId="0" applyFont="1" applyFill="1" applyBorder="1" applyAlignment="1">
      <alignment horizontal="center" vertical="center" wrapText="1"/>
    </xf>
    <xf numFmtId="10" fontId="14" fillId="0" borderId="2" xfId="0" applyNumberFormat="1" applyFont="1" applyFill="1" applyBorder="1" applyAlignment="1">
      <alignment horizontal="center" vertical="center" wrapText="1"/>
    </xf>
    <xf numFmtId="2" fontId="8" fillId="0" borderId="0" xfId="0" applyNumberFormat="1" applyFont="1" applyFill="1" applyBorder="1" applyAlignment="1">
      <alignment horizontal="center" vertical="center" wrapText="1"/>
    </xf>
    <xf numFmtId="0" fontId="9" fillId="0" borderId="3" xfId="0" applyFont="1" applyBorder="1" applyAlignment="1">
      <alignment vertical="center"/>
    </xf>
    <xf numFmtId="0" fontId="4" fillId="0" borderId="0" xfId="0" applyFont="1" applyAlignment="1">
      <alignment horizontal="center" vertical="center" wrapText="1"/>
    </xf>
    <xf numFmtId="0" fontId="14" fillId="0" borderId="2" xfId="0" applyFont="1" applyBorder="1" applyAlignment="1">
      <alignment horizontal="center" vertical="center" wrapText="1"/>
    </xf>
    <xf numFmtId="9" fontId="10" fillId="5" borderId="2" xfId="0" applyNumberFormat="1" applyFont="1" applyFill="1" applyBorder="1" applyAlignment="1">
      <alignment horizontal="center" vertical="center" wrapText="1"/>
    </xf>
    <xf numFmtId="0" fontId="10" fillId="0" borderId="3" xfId="0" applyFont="1" applyBorder="1" applyAlignment="1">
      <alignment horizontal="left" vertical="center"/>
    </xf>
    <xf numFmtId="9" fontId="14" fillId="0" borderId="2" xfId="0" applyNumberFormat="1" applyFont="1" applyBorder="1" applyAlignment="1">
      <alignment horizontal="center" vertical="center" wrapText="1"/>
    </xf>
    <xf numFmtId="9" fontId="4" fillId="5" borderId="2" xfId="0" applyNumberFormat="1" applyFont="1" applyFill="1" applyBorder="1" applyAlignment="1">
      <alignment horizontal="center" vertical="center"/>
    </xf>
    <xf numFmtId="9" fontId="14" fillId="0" borderId="2" xfId="0" applyNumberFormat="1" applyFont="1" applyBorder="1" applyAlignment="1">
      <alignment horizontal="center" vertical="center"/>
    </xf>
    <xf numFmtId="9" fontId="14" fillId="5" borderId="2" xfId="0" applyNumberFormat="1" applyFont="1" applyFill="1" applyBorder="1" applyAlignment="1">
      <alignment horizontal="center" vertical="center"/>
    </xf>
    <xf numFmtId="0" fontId="17" fillId="0" borderId="0" xfId="0" applyFont="1"/>
    <xf numFmtId="9" fontId="14" fillId="0" borderId="2" xfId="0"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xf>
    <xf numFmtId="0" fontId="4" fillId="0" borderId="0" xfId="0" applyFont="1" applyFill="1"/>
    <xf numFmtId="9" fontId="14" fillId="0" borderId="2" xfId="0" applyNumberFormat="1" applyFont="1" applyFill="1" applyBorder="1" applyAlignment="1">
      <alignment horizontal="center" vertical="center"/>
    </xf>
    <xf numFmtId="0" fontId="4" fillId="0" borderId="0" xfId="0" applyFont="1" applyAlignment="1">
      <alignment wrapText="1"/>
    </xf>
    <xf numFmtId="0" fontId="4" fillId="0" borderId="0" xfId="2" applyFont="1" applyFill="1" applyAlignment="1">
      <alignment wrapText="1"/>
    </xf>
    <xf numFmtId="0" fontId="17" fillId="0" borderId="0" xfId="0" applyFont="1" applyFill="1"/>
    <xf numFmtId="0" fontId="9" fillId="0" borderId="0" xfId="0" applyFont="1" applyAlignment="1">
      <alignment horizontal="center" vertical="center" wrapText="1"/>
    </xf>
    <xf numFmtId="16" fontId="4" fillId="0" borderId="0" xfId="0" applyNumberFormat="1" applyFont="1" applyAlignment="1">
      <alignment horizontal="center" vertical="center" wrapText="1"/>
    </xf>
    <xf numFmtId="0" fontId="17" fillId="0" borderId="0" xfId="0" applyFont="1" applyAlignment="1">
      <alignment horizontal="left" vertical="center" wrapText="1"/>
    </xf>
    <xf numFmtId="0" fontId="17" fillId="0" borderId="0" xfId="0" applyFont="1" applyFill="1" applyAlignment="1">
      <alignment horizontal="left" vertical="center" wrapText="1"/>
    </xf>
    <xf numFmtId="0" fontId="17" fillId="0" borderId="0" xfId="0" applyFont="1" applyAlignment="1">
      <alignment horizontal="center" vertical="center" wrapText="1"/>
    </xf>
    <xf numFmtId="0" fontId="17" fillId="0" borderId="0" xfId="0" applyFont="1" applyFill="1" applyAlignment="1">
      <alignment horizontal="center" vertical="center" wrapText="1"/>
    </xf>
    <xf numFmtId="0" fontId="18" fillId="0" borderId="3" xfId="0" applyFont="1" applyBorder="1" applyAlignment="1">
      <alignment vertical="center"/>
    </xf>
    <xf numFmtId="0" fontId="19" fillId="4" borderId="0" xfId="0" applyFont="1" applyFill="1" applyBorder="1" applyAlignment="1">
      <alignment horizontal="center" vertical="center" wrapText="1"/>
    </xf>
    <xf numFmtId="0" fontId="20" fillId="4"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4" xfId="0" applyFont="1" applyBorder="1" applyAlignment="1">
      <alignment horizontal="center" vertical="center" wrapText="1"/>
    </xf>
    <xf numFmtId="2" fontId="18" fillId="0" borderId="2" xfId="1" applyNumberFormat="1" applyFont="1" applyFill="1" applyBorder="1" applyAlignment="1">
      <alignment horizontal="center" vertical="center" wrapText="1"/>
    </xf>
    <xf numFmtId="0" fontId="18" fillId="0" borderId="2" xfId="1" applyNumberFormat="1" applyFont="1" applyFill="1" applyBorder="1" applyAlignment="1">
      <alignment horizontal="center" vertical="center" wrapText="1"/>
    </xf>
    <xf numFmtId="164" fontId="18" fillId="0" borderId="2" xfId="1" applyNumberFormat="1" applyFont="1" applyFill="1" applyBorder="1" applyAlignment="1">
      <alignment horizontal="center" vertical="center" wrapText="1"/>
    </xf>
    <xf numFmtId="0" fontId="4" fillId="0" borderId="6" xfId="0" applyFont="1" applyBorder="1" applyAlignment="1">
      <alignment horizontal="center" vertical="center" wrapText="1"/>
    </xf>
    <xf numFmtId="9" fontId="18" fillId="0" borderId="2" xfId="1" applyNumberFormat="1" applyFont="1" applyFill="1" applyBorder="1" applyAlignment="1">
      <alignment horizontal="center" vertical="center" wrapText="1"/>
    </xf>
    <xf numFmtId="0" fontId="18" fillId="0" borderId="3" xfId="0" applyFont="1" applyBorder="1" applyAlignment="1">
      <alignment horizontal="left" vertical="center"/>
    </xf>
    <xf numFmtId="0" fontId="14" fillId="0" borderId="3" xfId="0" applyFont="1" applyFill="1" applyBorder="1" applyAlignment="1">
      <alignment horizontal="left" vertical="center"/>
    </xf>
    <xf numFmtId="2" fontId="14" fillId="0" borderId="2" xfId="0" applyNumberFormat="1" applyFont="1" applyFill="1" applyBorder="1" applyAlignment="1">
      <alignment horizontal="center" vertical="center" wrapText="1"/>
    </xf>
    <xf numFmtId="2" fontId="14" fillId="0" borderId="2" xfId="1" applyNumberFormat="1" applyFont="1" applyFill="1" applyBorder="1" applyAlignment="1">
      <alignment horizontal="center" vertical="center" wrapText="1"/>
    </xf>
    <xf numFmtId="0" fontId="14" fillId="0" borderId="2" xfId="1" applyNumberFormat="1" applyFont="1" applyFill="1" applyBorder="1" applyAlignment="1">
      <alignment horizontal="center" vertical="center" wrapText="1"/>
    </xf>
    <xf numFmtId="0" fontId="14" fillId="5"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164" fontId="14" fillId="0" borderId="2" xfId="1" applyNumberFormat="1" applyFont="1" applyFill="1" applyBorder="1" applyAlignment="1">
      <alignment horizontal="center" vertical="center" wrapText="1"/>
    </xf>
    <xf numFmtId="1" fontId="14" fillId="0" borderId="2" xfId="0" applyNumberFormat="1" applyFont="1" applyFill="1" applyBorder="1" applyAlignment="1">
      <alignment horizontal="center" vertical="center" wrapText="1"/>
    </xf>
    <xf numFmtId="9" fontId="14" fillId="0" borderId="2" xfId="1" applyNumberFormat="1"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8" xfId="0" applyFont="1" applyBorder="1" applyAlignment="1">
      <alignment horizontal="center" vertical="center" wrapText="1"/>
    </xf>
    <xf numFmtId="0" fontId="10" fillId="0" borderId="10" xfId="0" applyFont="1" applyBorder="1" applyAlignment="1">
      <alignment horizontal="center" vertical="center"/>
    </xf>
    <xf numFmtId="0" fontId="10" fillId="0" borderId="5" xfId="0" applyFont="1" applyBorder="1" applyAlignment="1">
      <alignment horizontal="center" vertical="center"/>
    </xf>
    <xf numFmtId="0" fontId="10" fillId="0" borderId="11" xfId="0" applyFont="1" applyBorder="1" applyAlignment="1">
      <alignment horizontal="center" vertical="center"/>
    </xf>
    <xf numFmtId="0" fontId="14" fillId="0" borderId="6" xfId="0" applyFont="1" applyBorder="1" applyAlignment="1">
      <alignment horizontal="center" vertical="center" wrapText="1"/>
    </xf>
    <xf numFmtId="9" fontId="14" fillId="0" borderId="4" xfId="0" applyNumberFormat="1" applyFont="1" applyBorder="1" applyAlignment="1">
      <alignment horizontal="center" vertical="center" wrapText="1"/>
    </xf>
    <xf numFmtId="9" fontId="14" fillId="0" borderId="4" xfId="0" applyNumberFormat="1" applyFont="1" applyFill="1" applyBorder="1" applyAlignment="1">
      <alignment horizontal="center" vertical="center" wrapText="1"/>
    </xf>
    <xf numFmtId="9" fontId="14" fillId="0" borderId="4" xfId="0" applyNumberFormat="1" applyFont="1" applyFill="1" applyBorder="1" applyAlignment="1">
      <alignment horizontal="center" vertical="center"/>
    </xf>
    <xf numFmtId="9" fontId="4" fillId="0" borderId="4" xfId="0" applyNumberFormat="1" applyFont="1" applyFill="1" applyBorder="1" applyAlignment="1">
      <alignment horizontal="center" vertical="center"/>
    </xf>
    <xf numFmtId="9" fontId="21" fillId="0" borderId="2" xfId="0" applyNumberFormat="1" applyFont="1" applyFill="1" applyBorder="1" applyAlignment="1">
      <alignment horizontal="center" vertical="center" wrapText="1"/>
    </xf>
    <xf numFmtId="9" fontId="21" fillId="0" borderId="4" xfId="0" applyNumberFormat="1"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4" borderId="9"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0" fontId="14" fillId="0" borderId="4" xfId="0" applyFont="1" applyBorder="1" applyAlignment="1">
      <alignment horizontal="center" vertical="center" wrapText="1"/>
    </xf>
    <xf numFmtId="2" fontId="14" fillId="0" borderId="4" xfId="1"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4" fillId="0" borderId="12" xfId="0" applyFont="1" applyBorder="1" applyAlignment="1">
      <alignment horizontal="center" vertical="center" wrapText="1"/>
    </xf>
    <xf numFmtId="0" fontId="14" fillId="0" borderId="8"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0" fillId="3" borderId="6" xfId="0" applyFont="1" applyFill="1" applyBorder="1" applyAlignment="1">
      <alignment horizontal="center" vertical="center" wrapText="1"/>
    </xf>
    <xf numFmtId="165" fontId="10" fillId="3" borderId="4" xfId="0" applyNumberFormat="1" applyFont="1" applyFill="1" applyBorder="1" applyAlignment="1">
      <alignment horizontal="center" vertical="center" wrapText="1"/>
    </xf>
    <xf numFmtId="0" fontId="4" fillId="6" borderId="12" xfId="0" applyFont="1" applyFill="1" applyBorder="1" applyAlignment="1">
      <alignment horizontal="center" vertical="center" wrapText="1"/>
    </xf>
    <xf numFmtId="0" fontId="18" fillId="0" borderId="3" xfId="0" applyFont="1" applyBorder="1" applyAlignment="1">
      <alignment horizontal="center" vertical="center"/>
    </xf>
    <xf numFmtId="0" fontId="12" fillId="0" borderId="7" xfId="0" applyFont="1" applyBorder="1" applyAlignment="1">
      <alignment horizontal="centerContinuous" vertical="center" wrapText="1"/>
    </xf>
    <xf numFmtId="0" fontId="6" fillId="0" borderId="0" xfId="0" applyFont="1" applyAlignment="1">
      <alignment horizontal="centerContinuous" wrapText="1"/>
    </xf>
    <xf numFmtId="9" fontId="4" fillId="5" borderId="9" xfId="0" applyNumberFormat="1" applyFont="1" applyFill="1" applyBorder="1" applyAlignment="1">
      <alignment horizontal="center" vertical="center"/>
    </xf>
    <xf numFmtId="9" fontId="14" fillId="5" borderId="4" xfId="0" applyNumberFormat="1" applyFont="1" applyFill="1" applyBorder="1" applyAlignment="1">
      <alignment horizontal="center" vertical="center"/>
    </xf>
    <xf numFmtId="9" fontId="4" fillId="5" borderId="4" xfId="0" applyNumberFormat="1" applyFont="1" applyFill="1" applyBorder="1" applyAlignment="1">
      <alignment horizontal="center" vertical="center"/>
    </xf>
    <xf numFmtId="9" fontId="4" fillId="5" borderId="12" xfId="0" applyNumberFormat="1" applyFont="1" applyFill="1" applyBorder="1" applyAlignment="1">
      <alignment horizontal="center" vertical="center"/>
    </xf>
    <xf numFmtId="0" fontId="10" fillId="0" borderId="0" xfId="0" applyFont="1" applyFill="1" applyBorder="1" applyAlignment="1">
      <alignment horizontal="centerContinuous" vertical="center" wrapText="1"/>
    </xf>
    <xf numFmtId="0" fontId="4" fillId="0" borderId="0" xfId="0" applyFont="1" applyAlignment="1">
      <alignment horizontal="centerContinuous"/>
    </xf>
    <xf numFmtId="0" fontId="14" fillId="0" borderId="9" xfId="0" applyFont="1" applyBorder="1" applyAlignment="1">
      <alignment horizontal="center" vertical="center" wrapText="1"/>
    </xf>
    <xf numFmtId="0" fontId="11" fillId="4" borderId="2"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center" vertical="center" wrapText="1"/>
      <protection locked="0"/>
    </xf>
    <xf numFmtId="2"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9" fontId="11" fillId="0" borderId="2" xfId="0" applyNumberFormat="1" applyFont="1" applyFill="1" applyBorder="1" applyAlignment="1" applyProtection="1">
      <alignment horizontal="center" vertical="center" wrapText="1"/>
      <protection locked="0"/>
    </xf>
    <xf numFmtId="1" fontId="11" fillId="0" borderId="2" xfId="0" applyNumberFormat="1" applyFont="1" applyFill="1" applyBorder="1" applyAlignment="1" applyProtection="1">
      <alignment horizontal="center" vertical="center" wrapText="1"/>
      <protection locked="0"/>
    </xf>
    <xf numFmtId="9" fontId="11" fillId="0" borderId="4" xfId="0" applyNumberFormat="1" applyFont="1" applyFill="1" applyBorder="1" applyAlignment="1" applyProtection="1">
      <alignment horizontal="center" vertical="center" wrapText="1"/>
      <protection locked="0"/>
    </xf>
  </cellXfs>
  <cellStyles count="3">
    <cellStyle name="Calculation" xfId="1" builtinId="22"/>
    <cellStyle name="Normal" xfId="0" builtinId="0"/>
    <cellStyle name="Normal_Sheet1" xfId="2" xr:uid="{9611893A-EC86-4D69-822D-7AC363A48D41}"/>
  </cellStyles>
  <dxfs count="71">
    <dxf>
      <font>
        <b/>
        <i val="0"/>
        <strike val="0"/>
        <condense val="0"/>
        <extend val="0"/>
        <outline val="0"/>
        <shadow val="0"/>
        <u val="none"/>
        <vertAlign val="baseline"/>
        <sz val="12"/>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auto="1"/>
        <name val="Arial"/>
        <family val="2"/>
        <scheme val="none"/>
      </font>
      <numFmt numFmtId="1" formatCode="0"/>
      <fill>
        <patternFill patternType="solid">
          <fgColor indexed="64"/>
          <bgColor rgb="FFFFFF0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0"/>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0"/>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0"/>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0"/>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0"/>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0"/>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0"/>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0"/>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0"/>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family val="2"/>
        <scheme val="none"/>
      </font>
      <numFmt numFmtId="13" formatCode="0%"/>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2"/>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rgb="FFFFFF00"/>
        </patternFill>
      </fill>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rgb="FFFFFF0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rgb="FFFFFF0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rgb="FFFFFF0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Arial"/>
        <family val="2"/>
        <scheme val="none"/>
      </font>
      <numFmt numFmtId="13" formatCode="0%"/>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fill>
        <patternFill patternType="solid">
          <fgColor indexed="64"/>
          <bgColor rgb="FFFFFF00"/>
        </patternFill>
      </fill>
      <alignment horizontal="center"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2"/>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rgb="FFC00000"/>
        <name val="Arial"/>
        <family val="2"/>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border outline="0">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rgb="FF0070C0"/>
        <name val="Arial"/>
        <family val="2"/>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rgb="FF0070C0"/>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bottom/>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D720835-4F13-4A5E-8506-A3E3BF00F716}" name="Table4" displayName="Table4" ref="A2:C5" totalsRowShown="0" headerRowBorderDxfId="70" tableBorderDxfId="69" totalsRowBorderDxfId="68">
  <tableColumns count="3">
    <tableColumn id="1" xr3:uid="{B87742AF-C464-4F57-B997-3EE7EA09F8BE}" name="Category"/>
    <tableColumn id="2" xr3:uid="{87451AD1-19BC-40BB-BBF9-10D618187EE4}" name="Output"/>
    <tableColumn id="3" xr3:uid="{61389A62-100F-4D52-97B3-24105B6BBDF3}" name="Notes"/>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EB476A8-FB4D-42E0-BC2F-9DB730393B2F}" name="Table3" displayName="Table3" ref="A2:E13" totalsRowShown="0" headerRowDxfId="67" headerRowBorderDxfId="66" tableBorderDxfId="65" totalsRowBorderDxfId="64">
  <tableColumns count="5">
    <tableColumn id="1" xr3:uid="{28A595B2-8145-4DF3-8010-2297C1CE9272}" name="Category" dataDxfId="63"/>
    <tableColumn id="2" xr3:uid="{7D018B8E-3ABA-4EBC-B826-8277FFA1DDD7}" name="Parameter" dataDxfId="62"/>
    <tableColumn id="3" xr3:uid="{511257B9-74D7-4E1A-BC18-96515F92CE67}" name="User input" dataDxfId="61"/>
    <tableColumn id="4" xr3:uid="{51782DBD-C5C6-4FB3-BB73-DDF92C7B69DF}" name="Units" dataDxfId="60"/>
    <tableColumn id="5" xr3:uid="{A59693A2-9EC4-4978-A2EB-F3B90CD11C3F}" name="Note" dataDxfId="5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F645403-17B2-4972-8382-F222D199F818}" name="Table6" displayName="Table6" ref="A2:E18" totalsRowShown="0" headerRowDxfId="58" headerRowBorderDxfId="57" tableBorderDxfId="56" totalsRowBorderDxfId="55">
  <tableColumns count="5">
    <tableColumn id="1" xr3:uid="{93DE19B2-2DAA-4246-9330-C1F58A447691}" name="Category" dataDxfId="54"/>
    <tableColumn id="2" xr3:uid="{4DCD8480-FBC1-4C43-8D22-F3F934F3A905}" name="Parameter" dataDxfId="53"/>
    <tableColumn id="3" xr3:uid="{64A265E6-2606-406A-8ABF-1D8C31838027}" name="User input " dataDxfId="52"/>
    <tableColumn id="4" xr3:uid="{FF6B8A89-76DE-41D4-856E-62989EDC82E3}" name="Units" dataDxfId="51"/>
    <tableColumn id="5" xr3:uid="{B021D024-E675-4426-BDB3-9987D6C873A1}" name="Note" dataDxfId="5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81A8D19-5E43-4466-909B-DBC0EFBC3BA6}" name="Table7" displayName="Table7" ref="A2:E24" totalsRowShown="0" headerRowDxfId="49" headerRowBorderDxfId="48" tableBorderDxfId="47">
  <tableColumns count="5">
    <tableColumn id="1" xr3:uid="{AFE2A5D1-B5E5-4625-98AD-CE5F376976C4}" name="Category" dataDxfId="46"/>
    <tableColumn id="2" xr3:uid="{84E6D67F-74CE-4322-A7A8-EB1E470F0081}" name="Parameter" dataDxfId="45"/>
    <tableColumn id="3" xr3:uid="{F486B584-926E-4ED2-BB5A-55465D34DE9B}" name="Model calculated value" dataDxfId="44" dataCellStyle="Calculation"/>
    <tableColumn id="4" xr3:uid="{B6A347DB-E5A1-40F1-ACCE-0C092225EE8B}" name="Units" dataDxfId="43"/>
    <tableColumn id="5" xr3:uid="{3776005F-DC43-4341-AF5E-C573C453310B}" name="Note" dataDxfId="4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7265CE7-1441-4D58-BD96-A639A3AE6F1F}" name="Table8" displayName="Table8" ref="A2:R5" totalsRowShown="0" headerRowDxfId="41" dataDxfId="39" headerRowBorderDxfId="40" tableBorderDxfId="38" totalsRowBorderDxfId="37">
  <tableColumns count="18">
    <tableColumn id="1" xr3:uid="{BB41B997-1EB8-4860-AA3D-10509E74B3E0}" name="MERV Rating" dataDxfId="36"/>
    <tableColumn id="2" xr3:uid="{38A9D2AA-3793-49DA-B44E-F288A9D2F558}" name="0" dataDxfId="35"/>
    <tableColumn id="3" xr3:uid="{E89B252A-8D14-492F-AF7F-C52D703AF36C}" name="1"/>
    <tableColumn id="4" xr3:uid="{BEE5DCE0-2C21-4C3C-8DA4-74B32E428DA4}" name="2"/>
    <tableColumn id="5" xr3:uid="{DB1B23B6-31D8-4E17-AF44-07475D61DEA9}" name="3"/>
    <tableColumn id="6" xr3:uid="{3F4319CE-A99E-4EBF-BAD3-723A0B16DD3A}" name="4"/>
    <tableColumn id="7" xr3:uid="{F9859425-ABA4-4919-96EC-86B37E796C9E}" name="5"/>
    <tableColumn id="8" xr3:uid="{107AAC4B-202A-4E95-A5A3-9D2DFA363BCA}" name="6"/>
    <tableColumn id="9" xr3:uid="{AFB5F178-B375-4BAB-885D-3F6BF8DCD08F}" name="7"/>
    <tableColumn id="10" xr3:uid="{C0B9D254-49CF-4F3A-AC68-0D731622CE1E}" name="8"/>
    <tableColumn id="11" xr3:uid="{CD7557CC-642A-4F4C-93A4-E474DE42A47A}" name="9"/>
    <tableColumn id="12" xr3:uid="{F1C52307-F9A9-4594-9924-8518F375B53F}" name="10"/>
    <tableColumn id="13" xr3:uid="{4DC1F798-8829-4350-8289-43722AB2489C}" name="11"/>
    <tableColumn id="14" xr3:uid="{BBE76431-FC16-4C76-9E49-9A2BB37ADE96}" name="12"/>
    <tableColumn id="15" xr3:uid="{CCC1F716-1123-494A-BD86-B0B235E49F66}" name="13" dataDxfId="34">
      <calculatedColumnFormula>90/100</calculatedColumnFormula>
    </tableColumn>
    <tableColumn id="16" xr3:uid="{52DA1F8B-AC7D-4E79-B333-47B72CE9AA76}" name="14" dataDxfId="33">
      <calculatedColumnFormula>90/100</calculatedColumnFormula>
    </tableColumn>
    <tableColumn id="17" xr3:uid="{8170F7C5-08DE-4FD9-B6D9-763FF8C41254}" name="15" dataDxfId="32">
      <calculatedColumnFormula>90/100</calculatedColumnFormula>
    </tableColumn>
    <tableColumn id="18" xr3:uid="{B882F5F8-95FF-404B-92D6-B7E552764723}" name="16" dataDxfId="31">
      <calculatedColumnFormula>95/100</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9CE041D-9E38-4259-8688-ACB6798C669F}" name="Table1" displayName="Table1" ref="A2:R7" totalsRowShown="0" headerRowDxfId="30" headerRowBorderDxfId="29" tableBorderDxfId="28" totalsRowBorderDxfId="27">
  <tableColumns count="18">
    <tableColumn id="1" xr3:uid="{6BA6662C-7500-4C4A-AA1F-833C3A142C98}" name="MERV Rating" dataDxfId="26"/>
    <tableColumn id="2" xr3:uid="{34D4787D-2C8F-484A-9B35-2A5A8AEC1406}" name="0" dataDxfId="25"/>
    <tableColumn id="3" xr3:uid="{8D425C2B-4AA3-4C8A-9544-989481CA3190}" name="1" dataDxfId="24"/>
    <tableColumn id="4" xr3:uid="{8BFFED48-9E0D-45F7-AEE8-7B047EF325CC}" name="2" dataDxfId="23"/>
    <tableColumn id="5" xr3:uid="{2AEE3152-516B-4F26-8AAD-75AA1A34F76C}" name="3" dataDxfId="22"/>
    <tableColumn id="6" xr3:uid="{1512B51B-F7E7-4972-A625-04D0999C5431}" name="4" dataDxfId="21"/>
    <tableColumn id="7" xr3:uid="{26B7822A-BD4C-4956-8A81-69A2E7900BF6}" name="5" dataDxfId="20"/>
    <tableColumn id="8" xr3:uid="{1EF3F522-6406-418A-9B02-2CF4CDCFFCFF}" name="6" dataDxfId="19"/>
    <tableColumn id="9" xr3:uid="{406F184A-FEF3-4AFA-BDD6-DEBF06621AA8}" name="7" dataDxfId="18"/>
    <tableColumn id="10" xr3:uid="{BFDAE035-59E7-43E8-8371-3FA45C52879D}" name="8" dataDxfId="17"/>
    <tableColumn id="11" xr3:uid="{5CB4584A-138B-4F05-BF5C-6910DD687A0C}" name="9" dataDxfId="16"/>
    <tableColumn id="12" xr3:uid="{0C81EBD8-FA88-4C22-9B8C-C04255D9B61A}" name="10" dataDxfId="15"/>
    <tableColumn id="13" xr3:uid="{C5497A00-116F-4F02-BAF8-23971901A791}" name="11" dataDxfId="14"/>
    <tableColumn id="14" xr3:uid="{DA7C38F4-A2E6-40D7-9624-8D5B83DF0D12}" name="12" dataDxfId="13"/>
    <tableColumn id="15" xr3:uid="{13A2FF94-6009-4EA4-9914-78AA5F8BB9C1}" name="13" dataDxfId="12"/>
    <tableColumn id="16" xr3:uid="{3C337871-76F1-430D-B83C-D98FA09BD535}" name="14" dataDxfId="11"/>
    <tableColumn id="17" xr3:uid="{8170D42C-EEAE-45A4-A23B-730AD94DC142}" name="15" dataDxfId="10"/>
    <tableColumn id="18" xr3:uid="{0A70520C-6544-4AF1-9A8F-25363637898A}" name="16" dataDxfId="9"/>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3106B9-3FBC-4DFC-8322-4F1F197BC6E0}" name="Table2" displayName="Table2" ref="A2:E40" totalsRowShown="0" headerRowDxfId="8" headerRowBorderDxfId="7" tableBorderDxfId="6" totalsRowBorderDxfId="5">
  <tableColumns count="5">
    <tableColumn id="1" xr3:uid="{BEABF548-7684-4341-8543-5A299BE94510}" name="Category" dataDxfId="4"/>
    <tableColumn id="2" xr3:uid="{DD139A33-1A68-43B7-B776-E9469E5D6D9E}" name="Parameter" dataDxfId="3"/>
    <tableColumn id="3" xr3:uid="{7B61186A-63BB-40F1-8A0F-B154B9AA7E73}" name="Value Used for Reference Case" dataDxfId="2"/>
    <tableColumn id="4" xr3:uid="{36A57A96-7F94-4BDB-B8DD-A91DE1C55D75}" name="Units" dataDxfId="1"/>
    <tableColumn id="5" xr3:uid="{00461BE4-A79C-4DC2-AD10-08C232AF659C}" name="Not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ncbi.nlm.nih.gov/pmc/articles/PMC4734356/" TargetMode="External"/><Relationship Id="rId18" Type="http://schemas.openxmlformats.org/officeDocument/2006/relationships/hyperlink" Target="https://medium.com/@jjose_19945/how-to-quantify-the-ventilation-rate-of-an-indoor-space-using-a-cheap-co2-monitor-4d8b6d4dab44?source=friends_link&amp;sk=6cda52f5682a4a450a10691f07d1ad2c" TargetMode="External"/><Relationship Id="rId26" Type="http://schemas.openxmlformats.org/officeDocument/2006/relationships/hyperlink" Target="https://www.nejm.org/doi/full/10.1056/nejmc2004973" TargetMode="External"/><Relationship Id="rId39" Type="http://schemas.openxmlformats.org/officeDocument/2006/relationships/hyperlink" Target="https://covid19-projections.com/" TargetMode="External"/><Relationship Id="rId21" Type="http://schemas.openxmlformats.org/officeDocument/2006/relationships/hyperlink" Target="https://onlinelibrary.wiley.com/doi/full/10.1111/ina.12111" TargetMode="External"/><Relationship Id="rId34" Type="http://schemas.openxmlformats.org/officeDocument/2006/relationships/hyperlink" Target="https://www.medrxiv.org/content/10.1101/2020.06.26.20141085v1" TargetMode="External"/><Relationship Id="rId42" Type="http://schemas.openxmlformats.org/officeDocument/2006/relationships/hyperlink" Target="https://covid19-projections.com/" TargetMode="External"/><Relationship Id="rId7" Type="http://schemas.openxmlformats.org/officeDocument/2006/relationships/hyperlink" Target="https://www.medrxiv.org/content/10.1101/2020.06.01.20118984v1" TargetMode="External"/><Relationship Id="rId2" Type="http://schemas.openxmlformats.org/officeDocument/2006/relationships/hyperlink" Target="https://academic.oup.com/aje/article-abstract/107/5/421/58522" TargetMode="External"/><Relationship Id="rId16" Type="http://schemas.openxmlformats.org/officeDocument/2006/relationships/hyperlink" Target="http://coolvent.mit.edu/" TargetMode="External"/><Relationship Id="rId29" Type="http://schemas.openxmlformats.org/officeDocument/2006/relationships/hyperlink" Target="https://academic.oup.com/jid/advance-article/doi/10.1093/infdis/jiaa334/5856149" TargetMode="External"/><Relationship Id="rId1" Type="http://schemas.openxmlformats.org/officeDocument/2006/relationships/hyperlink" Target="https://www.medrxiv.org/content/10.1101/2020.06.15.20132027v1" TargetMode="External"/><Relationship Id="rId6" Type="http://schemas.openxmlformats.org/officeDocument/2006/relationships/hyperlink" Target="https://www.sciencedirect.com/science/article/pii/S0160412020312800" TargetMode="External"/><Relationship Id="rId11" Type="http://schemas.openxmlformats.org/officeDocument/2006/relationships/hyperlink" Target="https://www.healthline.com/health-news/certain-type-n95-mask-harm-covid19-spread" TargetMode="External"/><Relationship Id="rId24" Type="http://schemas.openxmlformats.org/officeDocument/2006/relationships/hyperlink" Target="https://www.ashrae.org/technical-resources/bookstore/standards-62-1-62-2" TargetMode="External"/><Relationship Id="rId32" Type="http://schemas.openxmlformats.org/officeDocument/2006/relationships/hyperlink" Target="https://www.sciencedirect.com/science/article/abs/pii/S1296207418305922?via%3Dihub" TargetMode="External"/><Relationship Id="rId37" Type="http://schemas.openxmlformats.org/officeDocument/2006/relationships/hyperlink" Target="https://www.descarteslabs.com/resources/covid-19-now" TargetMode="External"/><Relationship Id="rId40" Type="http://schemas.openxmlformats.org/officeDocument/2006/relationships/hyperlink" Target="https://covid.joinzoe.com/data" TargetMode="External"/><Relationship Id="rId45" Type="http://schemas.openxmlformats.org/officeDocument/2006/relationships/printerSettings" Target="../printerSettings/printerSettings1.bin"/><Relationship Id="rId5" Type="http://schemas.openxmlformats.org/officeDocument/2006/relationships/hyperlink" Target="https://www.medrxiv.org/content/10.1101/2020.06.15.20132027v1" TargetMode="External"/><Relationship Id="rId15" Type="http://schemas.openxmlformats.org/officeDocument/2006/relationships/hyperlink" Target="https://www.ncbi.nlm.nih.gov/pmc/articles/PMC4734356/" TargetMode="External"/><Relationship Id="rId23" Type="http://schemas.openxmlformats.org/officeDocument/2006/relationships/hyperlink" Target="https://onlinelibrary.wiley.com/doi/full/10.1111/ina.12272" TargetMode="External"/><Relationship Id="rId28" Type="http://schemas.openxmlformats.org/officeDocument/2006/relationships/hyperlink" Target="https://www.tandfonline.com/doi/full/10.1080/22221751.2020.1777906" TargetMode="External"/><Relationship Id="rId36" Type="http://schemas.openxmlformats.org/officeDocument/2006/relationships/hyperlink" Target="https://sites.google.com/compassfortcollins.org/coronavirusrisk/home" TargetMode="External"/><Relationship Id="rId10" Type="http://schemas.openxmlformats.org/officeDocument/2006/relationships/hyperlink" Target="https://pubmed.ncbi.nlm.nih.gov/24229526/" TargetMode="External"/><Relationship Id="rId19" Type="http://schemas.openxmlformats.org/officeDocument/2006/relationships/hyperlink" Target="https://www.sciencedirect.com/science/article/abs/pii/S1352231007008758" TargetMode="External"/><Relationship Id="rId31" Type="http://schemas.openxmlformats.org/officeDocument/2006/relationships/hyperlink" Target="https://www.sciencedirect.com/science/article/abs/pii/S1352231002001577" TargetMode="External"/><Relationship Id="rId44" Type="http://schemas.openxmlformats.org/officeDocument/2006/relationships/hyperlink" Target="https://twitter.com/jljcolorado/status/1275466006312304640" TargetMode="External"/><Relationship Id="rId4" Type="http://schemas.openxmlformats.org/officeDocument/2006/relationships/hyperlink" Target="https://www.medrxiv.org/content/10.1101/2020.06.01.20118984v1" TargetMode="External"/><Relationship Id="rId9" Type="http://schemas.openxmlformats.org/officeDocument/2006/relationships/hyperlink" Target="https://twitter.com/jljcolorado/status/1280935408398766080" TargetMode="External"/><Relationship Id="rId14" Type="http://schemas.openxmlformats.org/officeDocument/2006/relationships/hyperlink" Target="https://pubmed.ncbi.nlm.nih.gov/24229526/" TargetMode="External"/><Relationship Id="rId22" Type="http://schemas.openxmlformats.org/officeDocument/2006/relationships/hyperlink" Target="https://onlinelibrary.wiley.com/doi/full/10.1111/j.1600-0668.2012.00769.x" TargetMode="External"/><Relationship Id="rId27" Type="http://schemas.openxmlformats.org/officeDocument/2006/relationships/hyperlink" Target="https://www.medrxiv.org/content/10.1101/2020.04.13.20063784v1" TargetMode="External"/><Relationship Id="rId30" Type="http://schemas.openxmlformats.org/officeDocument/2006/relationships/hyperlink" Target="https://www.dhs.gov/science-and-technology/sars-airborne-calculator" TargetMode="External"/><Relationship Id="rId35" Type="http://schemas.openxmlformats.org/officeDocument/2006/relationships/hyperlink" Target="https://www.nafahq.org/understanding-merv-nafa-users-guide-to-ansi-ashrae-52-2/" TargetMode="External"/><Relationship Id="rId43" Type="http://schemas.openxmlformats.org/officeDocument/2006/relationships/hyperlink" Target="https://onlinelibrary.wiley.com/doi/full/10.1111/ina.12383" TargetMode="External"/><Relationship Id="rId8" Type="http://schemas.openxmlformats.org/officeDocument/2006/relationships/hyperlink" Target="https://www.epa.gov/expobox/exposure-factors-handbook-chapter-6" TargetMode="External"/><Relationship Id="rId3" Type="http://schemas.openxmlformats.org/officeDocument/2006/relationships/hyperlink" Target="https://www.sciencedirect.com/science/article/pii/S0160412020312800" TargetMode="External"/><Relationship Id="rId12" Type="http://schemas.openxmlformats.org/officeDocument/2006/relationships/hyperlink" Target="https://journals.plos.org/plospathogens/article?id=10.1371/journal.ppat.1003205" TargetMode="External"/><Relationship Id="rId17" Type="http://schemas.openxmlformats.org/officeDocument/2006/relationships/hyperlink" Target="https://www.amazon.com/dp/B07YY7BH2W/" TargetMode="External"/><Relationship Id="rId25" Type="http://schemas.openxmlformats.org/officeDocument/2006/relationships/hyperlink" Target="https://twitter.com/ShellyMBoulder/status/1276540833223675904" TargetMode="External"/><Relationship Id="rId33" Type="http://schemas.openxmlformats.org/officeDocument/2006/relationships/hyperlink" Target="https://tinyurl.com/portableaircleanertool" TargetMode="External"/><Relationship Id="rId38" Type="http://schemas.openxmlformats.org/officeDocument/2006/relationships/hyperlink" Target="https://covid19risk.biosci.gatech.edu/" TargetMode="External"/><Relationship Id="rId20" Type="http://schemas.openxmlformats.org/officeDocument/2006/relationships/hyperlink" Target="https://link.springer.com/article/10.1007/s00420-008-0301-9" TargetMode="External"/><Relationship Id="rId41" Type="http://schemas.openxmlformats.org/officeDocument/2006/relationships/hyperlink" Target="https://jamanetwork.com/journals/jamainternalmedicine/fullarticle/2768834"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DF01C-C845-4675-91EA-8E77A9FB5C86}">
  <dimension ref="A1:O3"/>
  <sheetViews>
    <sheetView tabSelected="1" workbookViewId="0">
      <selection activeCell="A19" sqref="A19"/>
    </sheetView>
  </sheetViews>
  <sheetFormatPr defaultColWidth="8.85546875" defaultRowHeight="15" x14ac:dyDescent="0.25"/>
  <cols>
    <col min="1" max="1" width="86" customWidth="1"/>
  </cols>
  <sheetData>
    <row r="1" spans="1:15" ht="45" customHeight="1" x14ac:dyDescent="0.25">
      <c r="A1" s="3" t="s">
        <v>88</v>
      </c>
      <c r="B1" s="3"/>
      <c r="C1" s="2"/>
      <c r="D1" s="2"/>
      <c r="E1" s="2"/>
      <c r="F1" s="2"/>
      <c r="G1" s="2"/>
      <c r="H1" s="2"/>
      <c r="I1" s="2"/>
      <c r="J1" s="2"/>
      <c r="K1" s="2"/>
      <c r="L1" s="2"/>
    </row>
    <row r="2" spans="1:15" s="27" customFormat="1" ht="149.25" customHeight="1" x14ac:dyDescent="0.25">
      <c r="A2" s="33" t="s">
        <v>176</v>
      </c>
      <c r="B2" s="33"/>
      <c r="C2" s="33"/>
      <c r="D2" s="33"/>
      <c r="E2" s="33"/>
      <c r="F2" s="33"/>
      <c r="G2" s="33"/>
      <c r="H2" s="33"/>
      <c r="I2" s="33"/>
      <c r="J2" s="33"/>
      <c r="K2" s="33"/>
      <c r="L2" s="33"/>
      <c r="M2" s="34"/>
      <c r="N2" s="34"/>
      <c r="O2" s="34"/>
    </row>
    <row r="3" spans="1:15" ht="15.75" x14ac:dyDescent="0.25">
      <c r="A3" s="32"/>
    </row>
  </sheetData>
  <sheetProtection algorithmName="SHA-512" hashValue="dBWrY4InGzmRVLcielF7zoWKZ/PCDQHYHa2Qg51TvJsx8QouUq99eEiVwV4FmBAb5qJGdVM3JqQYfBWHUiYPrw==" saltValue="nXnbyS3RLIAi3M328gbyvA==" spinCount="100000" sheet="1" objects="1" scenarios="1"/>
  <hyperlinks>
    <hyperlink ref="D12" r:id="rId1" display="https://www.medrxiv.org/content/10.1101/2020.06.15.20132027v1" xr:uid="{2808A847-3680-48E9-AED1-7DA3213AAA2E}"/>
    <hyperlink ref="D13" r:id="rId2" display="https://academic.oup.com/aje/article-abstract/107/5/421/58522" xr:uid="{5A48C241-0BF1-4286-8770-05D857DEB6D1}"/>
    <hyperlink ref="D14" r:id="rId3" display="https://www.sciencedirect.com/science/article/pii/S0160412020312800" xr:uid="{AC18C2EF-E607-48E4-BCFB-2FD023314A84}"/>
    <hyperlink ref="D15" r:id="rId4" display="https://www.medrxiv.org/content/10.1101/2020.06.01.20118984v1" xr:uid="{89188D9B-5171-49DA-98FF-CB6512AFA7E8}"/>
    <hyperlink ref="A19" location="Readme!A72" display="The most uncertain parameter is the quanta emission rates for SARS-CoV-2" xr:uid="{FEE0DBD9-1ACD-424E-8053-761BC175D431}"/>
    <hyperlink ref="G21" r:id="rId5" display="https://www.medrxiv.org/content/10.1101/2020.06.15.20132027v1" xr:uid="{256CDE50-D7D8-43C9-B642-B0C8D1A6CDD0}"/>
    <hyperlink ref="H25" r:id="rId6" display="Paper 1" xr:uid="{F09A4E13-3658-444D-A3C9-7F97A9F30830}"/>
    <hyperlink ref="I25" r:id="rId7" display="Paper 2" xr:uid="{C8DFA4DB-7A4C-471B-9FA4-D0462EB112F9}"/>
    <hyperlink ref="A49" location="Readme!A102" display="Inhalation (Breathing) Rates" xr:uid="{DE06DC50-1F75-467B-AA54-ECB044C38053}"/>
    <hyperlink ref="B53" r:id="rId8" display="https://www.epa.gov/expobox/exposure-factors-handbook-chapter-6" xr:uid="{19E89B14-2E64-46B6-8A9E-5BC2FD79C19F}"/>
    <hyperlink ref="A122" location="Readme!A174" display="Mask efficiencies in reducing virus emission (as they come out the nose and mouth of an infected person)" xr:uid="{5E5F172F-0578-4515-AF5D-F1952B10FC26}"/>
    <hyperlink ref="B123" r:id="rId9" display="Note that mask fit may be as important as the type of mask, see this video: https://twitter.com/jljcolorado/status/1280935408398766080" xr:uid="{B4BB2839-3E5E-4F8E-B2CB-CED5B09ACD8F}"/>
    <hyperlink ref="E125" r:id="rId10" display="https://pubmed.ncbi.nlm.nih.gov/24229526/" xr:uid="{D903E85E-3A48-4852-95C8-27106826C60D}"/>
    <hyperlink ref="C129" r:id="rId11" display="See for example this article for a picture of that type of mask: https://www.healthline.com/health-news/certain-type-n95-mask-harm-covid19-spread" xr:uid="{7B7CF713-D874-408C-9209-81D963765A7C}"/>
    <hyperlink ref="F131" r:id="rId12" display="https://journals.plos.org/plospathogens/article?id=10.1371/journal.ppat.1003205" xr:uid="{77B087E6-50CD-48E1-AA71-58BD6E4E368E}"/>
    <hyperlink ref="C133" r:id="rId13" display="For face shields worn without a mask. This is a guess, since the one study available is for inhalation, not for emission. But it makes sense that efficiency would be low, due to limited inertia of exhaled particles under normal breathing or talking. From " xr:uid="{23355E82-32DB-4AC4-B030-CE5802320EC2}"/>
    <hyperlink ref="A135" location="Readme!A188" display="Mask efficiencies in reducing virus inhalation by a susceptible person (for virus already in aerosol particles floating in the air) " xr:uid="{93363FFB-CEBA-4176-AA5B-EF375D0F51B1}"/>
    <hyperlink ref="C137" r:id="rId14" display="Davies et al. (2013; https://pubmed.ncbi.nlm.nih.gov/24229526/) reported a filtration efficiency of 50% for homemade cloth masks that people put on themselves. After discussion w/ Linsey Marr, we &quot;discounted&quot; this to be conservative, given imperfect weari" xr:uid="{5F424078-6651-4CAA-8905-16C2BFD66D9C}"/>
    <hyperlink ref="C139" r:id="rId15" display="For face shields worn without a mask, from https://www.ncbi.nlm.nih.gov/pmc/articles/PMC4734356/ https://www.youtube.com/watch?v=eGONzm3vduI Also note misconception that &quot;face shields protect from falling aerosols&quot;. Aerosols actually RISE around the human" xr:uid="{4FCECB35-22E6-4F65-9428-ADD40E74307D}"/>
    <hyperlink ref="A141" location="Readme!A195" display="Building ventilation rates" xr:uid="{2DBD33CC-15C0-4BB0-AE74-459A156ECD1A}"/>
    <hyperlink ref="B144" r:id="rId16" display="An MIT calculator for natural ventilation (through cracks, windows etc.) can be downloaded here: http://coolvent.mit.edu/ " xr:uid="{0EFE6A1F-A0A0-40D8-8EEF-E7848AB43091}"/>
    <hyperlink ref="B145" r:id="rId17" display="This can be measured approximately for a given space with a fast (few minutes response) CO2 meter such as this one" xr:uid="{2E7344B1-BBD6-4A62-BBBB-2A9BD1C8B037}"/>
    <hyperlink ref="C146" r:id="rId18" display="See this post which explains how to do it with some graphs: https://medium.com/@jjose_19945/how-to-quantify-the-ventilation-rate-of-an-indoor-space-using-a-cheap-co2-monitor-4d8b6d4dab44?source=friends_link&amp;sk=6cda52f5682a4a450a10691f07d1ad2c" xr:uid="{E479938A-6CA3-46E7-ABE2-F0F631591582}"/>
    <hyperlink ref="D157" r:id="rId19" display="https://www.sciencedirect.com/science/article/abs/pii/S1352231007008758 " xr:uid="{87F0F819-8F33-4BAC-8A33-A52F9283F92F}"/>
    <hyperlink ref="D158" r:id="rId20" display="https://link.springer.com/article/10.1007/s00420-008-0301-9 " xr:uid="{C21F40C6-6E7C-4398-A2E5-F0EB70C4A526}"/>
    <hyperlink ref="D159" r:id="rId21" display="https://onlinelibrary.wiley.com/doi/full/10.1111/ina.12111 " xr:uid="{DA98E6EF-6EB2-4314-9410-A02BF3210151}"/>
    <hyperlink ref="D160" r:id="rId22" display="https://onlinelibrary.wiley.com/doi/full/10.1111/j.1600-0668.2012.00769.x " xr:uid="{F710CC2C-5CB2-4B7D-9D0E-664394AA6831}"/>
    <hyperlink ref="D161" r:id="rId23" display="https://onlinelibrary.wiley.com/doi/full/10.1111/ina.12272" xr:uid="{BF692EEF-993F-46DB-B5ED-8F86BB7DF7CD}"/>
    <hyperlink ref="D162" r:id="rId24" display="https://www.ashrae.org/technical-resources/bookstore/standards-62-1-62-2" xr:uid="{73590D81-8021-4AEF-B786-B2A83DD46FD8}"/>
    <hyperlink ref="D164" r:id="rId25" display="reasonable first estimate (if you can't measure or get hard data from facilities folks) (Link)" xr:uid="{1A5A4403-3FC9-4F21-A96A-C2EEE1161133}"/>
    <hyperlink ref="A250" location="Readme!A256" display="Decay rate of the virus infectivity in aerosols (indoors and outdoors)" xr:uid="{E40D3AFD-303A-41CE-81BA-BB736D93DF2D}"/>
    <hyperlink ref="C253" r:id="rId26" display="https://www.nejm.org/doi/full/10.1056/nejmc2004973" xr:uid="{58D2B804-42A1-41C0-9E6E-C9FC96120C93}"/>
    <hyperlink ref="C254" r:id="rId27" display="https://www.medrxiv.org/content/10.1101/2020.04.13.20063784v1   (lower confidence in this result due to lack of replicates)" xr:uid="{9D0FCDF2-4C77-4FE5-B664-444108D8B3D0}"/>
    <hyperlink ref="C255" r:id="rId28" display="https://www.tandfonline.com/doi/full/10.1080/22221751.2020.1777906" xr:uid="{03C36551-F4D0-4368-9820-7C8FC181C21D}"/>
    <hyperlink ref="C256" r:id="rId29" display="https://academic.oup.com/jid/advance-article/doi/10.1093/infdis/jiaa334/5856149" xr:uid="{79C5C3FD-320F-4651-ABAB-27F97E76A91F}"/>
    <hyperlink ref="D257" r:id="rId30" display="Online estimator based on above (includes UV = 0, which is what should be used in most indoor spaces)" xr:uid="{696656AE-1646-4F6C-9AC6-EB6EC77AFA8A}"/>
    <hyperlink ref="A277" location="Readme!A283" display="Deposition of virus-containing aerosol to surfaces" xr:uid="{89635BFC-163E-4323-B66D-FE3B8AE085B7}"/>
    <hyperlink ref="C280" r:id="rId31" display="https://www.sciencedirect.com/science/article/abs/pii/S1352231002001577" xr:uid="{F7A4F82B-94FF-4722-AC40-1FB0E5280C38}"/>
    <hyperlink ref="C281" r:id="rId32" display="https://www.sciencedirect.com/science/article/abs/pii/S1296207418305922?via%3Dihub" xr:uid="{454175B4-ABFF-4908-977F-84D7EBA3634A}"/>
    <hyperlink ref="A283" location="Readme!A289" display="Virus removal rate of other control measures" xr:uid="{6FD97AFD-17E7-4508-A822-CC08F656FCEB}"/>
    <hyperlink ref="B292" r:id="rId33" display="A more elaborate calculator for HEPA filters can be found here: https://tinyurl.com/portableaircleanertool " xr:uid="{22C8D6E5-5D7E-4FF9-B365-E9B8EAAF8E60}"/>
    <hyperlink ref="C295" r:id="rId34" display="For air that is recirculated through an HVAC system, there are also particle losses. We know since virus RNA has been found in the surfaces of HVAC system, and also from basic aerosol dynamics and losses in tubing. This will happen even if there is no fil" xr:uid="{74F06925-3BF9-47DE-A112-EB0141156673}"/>
    <hyperlink ref="C304" r:id="rId35" display="- Table of filter efficiency from https://www.nafahq.org/understanding-merv-nafa-users-guide-to-ansi-ashrae-52-2/ We are not sure the particle size that contains more virus, but suspect it is 1-10 um mostly, based on our read of the literature. Therefore " xr:uid="{4EC8CC92-9835-48E3-B3B1-2344FF30E4A2}"/>
    <hyperlink ref="A327" location="Readme!A301" display="Disease prevalence in your area - Probability of someone being infected in a given region and time period" xr:uid="{F85D79A3-D9FD-4F5E-9F1B-1D0BB1AB1B96}"/>
    <hyperlink ref="C330" r:id="rId36" display="https://sites.google.com/compassfortcollins.org/coronavirusrisk/home" xr:uid="{842D9FF8-CBB4-49FA-B7C2-C52DE8511469}"/>
    <hyperlink ref="C331" r:id="rId37" display="https://www.descarteslabs.com/resources/covid-19-now" xr:uid="{BC6B32DA-DE02-431C-960A-33780E6F8C61}"/>
    <hyperlink ref="C332" r:id="rId38" display="https://covid19risk.biosci.gatech.edu/" xr:uid="{2A0C122D-6640-4E9B-A524-ADEF2657B38E}"/>
    <hyperlink ref="C335" r:id="rId39" display="https://covid19-projections.com/" xr:uid="{4144FDCD-9161-4741-ABE1-C983F96B1B87}"/>
    <hyperlink ref="C336" r:id="rId40" display="For the UK, you can get estimates from here: https://covid.joinzoe.com/data" xr:uid="{4FF2BBE3-82EE-4781-BD2D-3241FC422F86}"/>
    <hyperlink ref="A349" location="Readme!A323" display="Fraction of inmune people" xr:uid="{FA543395-E522-4C4F-BA24-05FB306A3CF5}"/>
    <hyperlink ref="B351" r:id="rId41" display="It can be estimated from studies such as this one: https://jamanetwork.com/journals/jamainternalmedicine/fullarticle/2768834 " xr:uid="{AFB6B5E2-8A96-4EFD-AB28-C88C464C0590}"/>
    <hyperlink ref="B352" r:id="rId42" display="You can estimate this number for US States and many countries using the total number of ever infected at: https://covid19-projections.com/" xr:uid="{8D86E978-8694-4E98-8057-71D77B891372}"/>
    <hyperlink ref="A355" location="Readme!A329" display="CO2 Emission Rates" xr:uid="{2855C507-C3A5-4640-A549-7A62B0E80024}"/>
    <hyperlink ref="A357" r:id="rId43" display="The method and tables are from Persily and de Jonge (2017)" xr:uid="{275D8FC5-65E0-4E64-BAE1-952C3A5A04A0}"/>
    <hyperlink ref="C399" r:id="rId44" display="Made public through Twitter" xr:uid="{DD59CB7B-2310-4C56-B912-EF0A8D987B56}"/>
  </hyperlinks>
  <pageMargins left="0.7" right="0.7" top="0.75" bottom="0.75" header="0.3" footer="0.3"/>
  <pageSetup orientation="portrait" horizontalDpi="1200" verticalDpi="1200"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DD330-9CBD-48E3-B529-414B29F6FACE}">
  <dimension ref="A1:L5"/>
  <sheetViews>
    <sheetView zoomScale="90" zoomScaleNormal="90" workbookViewId="0">
      <selection activeCell="B5" sqref="B5"/>
    </sheetView>
  </sheetViews>
  <sheetFormatPr defaultRowHeight="15" x14ac:dyDescent="0.25"/>
  <cols>
    <col min="1" max="1" width="46.140625" customWidth="1"/>
    <col min="2" max="2" width="10.85546875" customWidth="1"/>
    <col min="3" max="3" width="68.42578125" customWidth="1"/>
  </cols>
  <sheetData>
    <row r="1" spans="1:12" ht="15.75" x14ac:dyDescent="0.25">
      <c r="A1" s="18" t="s">
        <v>106</v>
      </c>
      <c r="B1" s="18"/>
      <c r="C1" s="18"/>
      <c r="D1" s="4"/>
      <c r="E1" s="4"/>
      <c r="F1" s="4"/>
      <c r="G1" s="4"/>
      <c r="H1" s="5"/>
      <c r="I1" s="5"/>
      <c r="J1" s="5"/>
      <c r="K1" s="5"/>
      <c r="L1" s="5"/>
    </row>
    <row r="2" spans="1:12" s="1" customFormat="1" ht="15.75" x14ac:dyDescent="0.25">
      <c r="A2" s="79" t="s">
        <v>25</v>
      </c>
      <c r="B2" s="80" t="s">
        <v>104</v>
      </c>
      <c r="C2" s="87" t="s">
        <v>105</v>
      </c>
      <c r="D2" s="17"/>
      <c r="E2" s="4"/>
      <c r="F2" s="4"/>
      <c r="G2" s="4"/>
      <c r="H2" s="4"/>
      <c r="I2" s="4"/>
      <c r="J2" s="4"/>
      <c r="K2" s="4"/>
    </row>
    <row r="3" spans="1:12" x14ac:dyDescent="0.25">
      <c r="A3" s="86" t="s">
        <v>84</v>
      </c>
      <c r="B3" s="16">
        <f>1-EXP(-'Simplified User Inputs'!C6*'Other Default Inputs'!C4*'Other Calculations'!C5*'Simplified User Inputs'!C5/('Other Calculations'!C3*('Other Calculations'!C10+'Other Calculations'!C11+'Other Calculations'!C20+'Other Calculations'!C24)))</f>
        <v>1.8991737815609033E-3</v>
      </c>
      <c r="C3" s="74" t="s">
        <v>102</v>
      </c>
      <c r="D3" s="6"/>
      <c r="E3" s="4"/>
      <c r="F3" s="4"/>
      <c r="G3" s="5"/>
      <c r="H3" s="5"/>
      <c r="I3" s="5"/>
      <c r="J3" s="5"/>
      <c r="K3" s="5"/>
    </row>
    <row r="4" spans="1:12" ht="90" x14ac:dyDescent="0.25">
      <c r="A4" s="86" t="s">
        <v>82</v>
      </c>
      <c r="B4" s="16">
        <f>1-EXP(-'Simplified User Inputs'!C6*'Reference Case Definition'!C5*'Reference Case Definition'!C9*'Simplified User Inputs'!C5/('Reference Case Definition'!C4*('Reference Case Definition'!C21+'Reference Case Definition'!C25+'Reference Case Definition'!C36+'Reference Case Definition'!C40)))</f>
        <v>1.8991737815609033E-3</v>
      </c>
      <c r="C4" s="74" t="s">
        <v>107</v>
      </c>
      <c r="D4" s="7"/>
      <c r="E4" s="4"/>
      <c r="F4" s="4"/>
      <c r="G4" s="5"/>
      <c r="H4" s="5"/>
      <c r="I4" s="5"/>
      <c r="J4" s="5"/>
      <c r="K4" s="5"/>
    </row>
    <row r="5" spans="1:12" ht="31.5" x14ac:dyDescent="0.25">
      <c r="A5" s="88" t="s">
        <v>83</v>
      </c>
      <c r="B5" s="89">
        <f>B3/B4</f>
        <v>1</v>
      </c>
      <c r="C5" s="90" t="s">
        <v>103</v>
      </c>
    </row>
  </sheetData>
  <sheetProtection algorithmName="SHA-512" hashValue="Xq4PONKVjdrsaemKw6yzfoIuK5+m6hbWyyuip1d+5JPHAHIu1+we1hAz/gMqoeh9TOWWWP3kR9jCpf0E0+31xA==" saltValue="6M3rVVCzXrqIcs4jg6JzCQ==" spinCount="100000" sheet="1" objects="1" scenario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
  <sheetViews>
    <sheetView zoomScale="85" zoomScaleNormal="85" workbookViewId="0">
      <selection activeCell="B11" sqref="B11"/>
    </sheetView>
  </sheetViews>
  <sheetFormatPr defaultColWidth="8.85546875" defaultRowHeight="15.75" x14ac:dyDescent="0.25"/>
  <cols>
    <col min="1" max="1" width="42.28515625" style="39" customWidth="1"/>
    <col min="2" max="2" width="55" style="39" customWidth="1"/>
    <col min="3" max="3" width="15.42578125" style="40" customWidth="1"/>
    <col min="4" max="4" width="10" style="39" customWidth="1"/>
    <col min="5" max="5" width="85.7109375" style="39" customWidth="1"/>
    <col min="6" max="6" width="17.7109375" style="39" customWidth="1"/>
    <col min="7" max="7" width="16.28515625" style="39" customWidth="1"/>
    <col min="8" max="16384" width="8.85546875" style="27"/>
  </cols>
  <sheetData>
    <row r="1" spans="1:12" x14ac:dyDescent="0.25">
      <c r="A1" s="18" t="s">
        <v>175</v>
      </c>
      <c r="B1" s="18"/>
      <c r="C1" s="18"/>
      <c r="D1" s="19"/>
      <c r="E1" s="19"/>
      <c r="F1" s="19"/>
      <c r="G1" s="19"/>
      <c r="H1" s="10"/>
      <c r="I1" s="10"/>
      <c r="J1" s="10"/>
      <c r="K1" s="10"/>
      <c r="L1" s="10"/>
    </row>
    <row r="2" spans="1:12" x14ac:dyDescent="0.25">
      <c r="A2" s="79" t="s">
        <v>25</v>
      </c>
      <c r="B2" s="80" t="s">
        <v>1</v>
      </c>
      <c r="C2" s="84" t="s">
        <v>28</v>
      </c>
      <c r="D2" s="80" t="s">
        <v>26</v>
      </c>
      <c r="E2" s="81" t="s">
        <v>27</v>
      </c>
      <c r="F2" s="35"/>
      <c r="G2" s="35"/>
      <c r="H2" s="10"/>
      <c r="I2" s="10"/>
      <c r="J2" s="10"/>
      <c r="K2" s="10"/>
      <c r="L2" s="10"/>
    </row>
    <row r="3" spans="1:12" ht="18" x14ac:dyDescent="0.25">
      <c r="A3" s="73" t="s">
        <v>90</v>
      </c>
      <c r="B3" s="20" t="s">
        <v>114</v>
      </c>
      <c r="C3" s="101">
        <v>89.3</v>
      </c>
      <c r="D3" s="14" t="s">
        <v>108</v>
      </c>
      <c r="E3" s="74" t="s">
        <v>157</v>
      </c>
      <c r="F3" s="19"/>
      <c r="G3" s="19"/>
      <c r="H3" s="10"/>
      <c r="I3" s="10"/>
      <c r="J3" s="10"/>
      <c r="K3" s="10"/>
      <c r="L3" s="10"/>
    </row>
    <row r="4" spans="1:12" x14ac:dyDescent="0.25">
      <c r="A4" s="73" t="s">
        <v>91</v>
      </c>
      <c r="B4" s="20" t="s">
        <v>115</v>
      </c>
      <c r="C4" s="101">
        <v>27</v>
      </c>
      <c r="D4" s="14" t="s">
        <v>5</v>
      </c>
      <c r="E4" s="74" t="s">
        <v>158</v>
      </c>
      <c r="F4" s="19"/>
      <c r="G4" s="19"/>
      <c r="H4" s="10"/>
      <c r="I4" s="10"/>
      <c r="J4" s="10"/>
      <c r="K4" s="10"/>
      <c r="L4" s="10"/>
    </row>
    <row r="5" spans="1:12" x14ac:dyDescent="0.25">
      <c r="A5" s="73" t="s">
        <v>91</v>
      </c>
      <c r="B5" s="20" t="s">
        <v>9</v>
      </c>
      <c r="C5" s="101">
        <v>5</v>
      </c>
      <c r="D5" s="14" t="s">
        <v>10</v>
      </c>
      <c r="E5" s="74" t="s">
        <v>23</v>
      </c>
      <c r="F5" s="19"/>
      <c r="G5" s="19"/>
      <c r="H5" s="10"/>
      <c r="I5" s="10"/>
      <c r="J5" s="10"/>
      <c r="K5" s="10"/>
      <c r="L5" s="10"/>
    </row>
    <row r="6" spans="1:12" x14ac:dyDescent="0.25">
      <c r="A6" s="73" t="s">
        <v>91</v>
      </c>
      <c r="B6" s="20" t="s">
        <v>11</v>
      </c>
      <c r="C6" s="101">
        <v>1</v>
      </c>
      <c r="D6" s="14" t="s">
        <v>5</v>
      </c>
      <c r="E6" s="74" t="s">
        <v>24</v>
      </c>
      <c r="F6" s="19"/>
      <c r="G6" s="19"/>
      <c r="H6" s="10"/>
      <c r="I6" s="10"/>
      <c r="J6" s="10"/>
      <c r="K6" s="10"/>
      <c r="L6" s="10"/>
    </row>
    <row r="7" spans="1:12" ht="45" x14ac:dyDescent="0.25">
      <c r="A7" s="73" t="s">
        <v>91</v>
      </c>
      <c r="B7" s="20" t="s">
        <v>50</v>
      </c>
      <c r="C7" s="101">
        <v>1</v>
      </c>
      <c r="D7" s="14" t="s">
        <v>5</v>
      </c>
      <c r="E7" s="74" t="s">
        <v>74</v>
      </c>
      <c r="F7" s="19"/>
      <c r="G7" s="19"/>
      <c r="H7" s="10"/>
      <c r="I7" s="10"/>
      <c r="J7" s="10"/>
      <c r="K7" s="10"/>
      <c r="L7" s="10"/>
    </row>
    <row r="8" spans="1:12" ht="30" x14ac:dyDescent="0.25">
      <c r="A8" s="73" t="s">
        <v>92</v>
      </c>
      <c r="B8" s="20" t="s">
        <v>51</v>
      </c>
      <c r="C8" s="101">
        <v>0</v>
      </c>
      <c r="D8" s="14" t="s">
        <v>89</v>
      </c>
      <c r="E8" s="74" t="s">
        <v>30</v>
      </c>
      <c r="F8" s="19"/>
      <c r="G8" s="19"/>
      <c r="H8" s="10"/>
      <c r="I8" s="10"/>
      <c r="J8" s="10"/>
      <c r="K8" s="10"/>
      <c r="L8" s="10"/>
    </row>
    <row r="9" spans="1:12" ht="63" x14ac:dyDescent="0.25">
      <c r="A9" s="73" t="s">
        <v>93</v>
      </c>
      <c r="B9" s="20" t="s">
        <v>44</v>
      </c>
      <c r="C9" s="101">
        <v>7</v>
      </c>
      <c r="D9" s="14" t="s">
        <v>6</v>
      </c>
      <c r="E9" s="74" t="s">
        <v>159</v>
      </c>
      <c r="F9" s="19"/>
      <c r="G9" s="36"/>
      <c r="H9" s="10"/>
      <c r="I9" s="10"/>
      <c r="J9" s="10"/>
      <c r="K9" s="10"/>
      <c r="L9" s="10"/>
    </row>
    <row r="10" spans="1:12" x14ac:dyDescent="0.25">
      <c r="A10" s="73" t="s">
        <v>94</v>
      </c>
      <c r="B10" s="20" t="s">
        <v>35</v>
      </c>
      <c r="C10" s="101">
        <v>8</v>
      </c>
      <c r="D10" s="14" t="s">
        <v>89</v>
      </c>
      <c r="E10" s="74" t="s">
        <v>33</v>
      </c>
      <c r="F10" s="19"/>
      <c r="G10" s="19"/>
      <c r="H10" s="10"/>
      <c r="I10" s="10"/>
      <c r="J10" s="10"/>
      <c r="K10" s="10"/>
      <c r="L10" s="10"/>
    </row>
    <row r="11" spans="1:12" ht="48" x14ac:dyDescent="0.25">
      <c r="A11" s="73" t="s">
        <v>95</v>
      </c>
      <c r="B11" s="20" t="s">
        <v>43</v>
      </c>
      <c r="C11" s="101">
        <v>0</v>
      </c>
      <c r="D11" s="14" t="s">
        <v>109</v>
      </c>
      <c r="E11" s="74" t="s">
        <v>110</v>
      </c>
      <c r="F11" s="19"/>
      <c r="G11" s="19"/>
      <c r="H11" s="10"/>
      <c r="I11" s="10"/>
      <c r="J11" s="10"/>
      <c r="K11" s="10"/>
      <c r="L11" s="10"/>
    </row>
    <row r="12" spans="1:12" ht="48" x14ac:dyDescent="0.25">
      <c r="A12" s="73" t="s">
        <v>96</v>
      </c>
      <c r="B12" s="20" t="s">
        <v>36</v>
      </c>
      <c r="C12" s="101">
        <v>0</v>
      </c>
      <c r="D12" s="14" t="s">
        <v>109</v>
      </c>
      <c r="E12" s="74" t="s">
        <v>110</v>
      </c>
      <c r="F12" s="19"/>
      <c r="G12" s="19"/>
      <c r="H12" s="10"/>
      <c r="I12" s="10"/>
      <c r="J12" s="10"/>
      <c r="K12" s="10"/>
      <c r="L12" s="10"/>
    </row>
    <row r="13" spans="1:12" ht="48" x14ac:dyDescent="0.25">
      <c r="A13" s="49" t="s">
        <v>95</v>
      </c>
      <c r="B13" s="82" t="s">
        <v>37</v>
      </c>
      <c r="C13" s="102">
        <v>0</v>
      </c>
      <c r="D13" s="45" t="s">
        <v>109</v>
      </c>
      <c r="E13" s="85" t="s">
        <v>110</v>
      </c>
      <c r="F13" s="19"/>
      <c r="G13" s="19"/>
      <c r="H13" s="10"/>
      <c r="I13" s="10"/>
      <c r="J13" s="10"/>
      <c r="K13" s="10"/>
      <c r="L13" s="10"/>
    </row>
    <row r="14" spans="1:12" x14ac:dyDescent="0.25">
      <c r="A14" s="37"/>
      <c r="B14" s="37"/>
      <c r="C14" s="38"/>
      <c r="D14" s="37"/>
    </row>
    <row r="15" spans="1:12" x14ac:dyDescent="0.25">
      <c r="A15" s="37"/>
      <c r="B15" s="37"/>
      <c r="C15" s="38"/>
      <c r="D15" s="37"/>
    </row>
  </sheetData>
  <sheetProtection algorithmName="SHA-512" hashValue="IRnrBQvXV6oLcDSe4zuScN5zIPZ8rEigpJVSsArRV2sFG+7RpJQNIyBE9iNjhghT9oJrSYJLAZVKtxm9ev+pFA==" saltValue="xjK+0R/wL9ByziIaBRdjdQ==" spinCount="100000" sheet="1" objects="1" scenarios="1"/>
  <pageMargins left="0.7" right="0.7" top="0.75" bottom="0.75" header="0.3" footer="0.3"/>
  <pageSetup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6"/>
  <sheetViews>
    <sheetView zoomScale="90" zoomScaleNormal="90" workbookViewId="0">
      <selection activeCell="C18" sqref="C18"/>
    </sheetView>
  </sheetViews>
  <sheetFormatPr defaultColWidth="8.85546875" defaultRowHeight="15.75" x14ac:dyDescent="0.25"/>
  <cols>
    <col min="1" max="1" width="39.5703125" style="19" customWidth="1"/>
    <col min="2" max="2" width="64.42578125" style="19" customWidth="1"/>
    <col min="3" max="3" width="25.42578125" style="19" customWidth="1"/>
    <col min="4" max="4" width="9.7109375" style="19" customWidth="1"/>
    <col min="5" max="5" width="48" style="19" customWidth="1"/>
    <col min="6" max="6" width="8.85546875" style="10"/>
    <col min="7" max="16384" width="8.85546875" style="27"/>
  </cols>
  <sheetData>
    <row r="1" spans="1:6" s="43" customFormat="1" x14ac:dyDescent="0.25">
      <c r="A1" s="41" t="s">
        <v>116</v>
      </c>
      <c r="B1" s="41"/>
      <c r="C1" s="41"/>
      <c r="D1" s="41"/>
      <c r="E1" s="91"/>
      <c r="F1" s="42"/>
    </row>
    <row r="2" spans="1:6" x14ac:dyDescent="0.25">
      <c r="A2" s="79" t="s">
        <v>25</v>
      </c>
      <c r="B2" s="80" t="s">
        <v>1</v>
      </c>
      <c r="C2" s="80" t="s">
        <v>173</v>
      </c>
      <c r="D2" s="80" t="s">
        <v>26</v>
      </c>
      <c r="E2" s="81" t="s">
        <v>27</v>
      </c>
    </row>
    <row r="3" spans="1:6" x14ac:dyDescent="0.25">
      <c r="A3" s="73" t="s">
        <v>29</v>
      </c>
      <c r="B3" s="20" t="s">
        <v>3</v>
      </c>
      <c r="C3" s="103">
        <v>3</v>
      </c>
      <c r="D3" s="14" t="s">
        <v>0</v>
      </c>
      <c r="E3" s="74" t="s">
        <v>67</v>
      </c>
    </row>
    <row r="4" spans="1:6" ht="18" x14ac:dyDescent="0.25">
      <c r="A4" s="73" t="s">
        <v>97</v>
      </c>
      <c r="B4" s="20" t="s">
        <v>8</v>
      </c>
      <c r="C4" s="104">
        <v>0.5</v>
      </c>
      <c r="D4" s="14" t="s">
        <v>109</v>
      </c>
      <c r="E4" s="75" t="s">
        <v>117</v>
      </c>
    </row>
    <row r="5" spans="1:6" ht="18" x14ac:dyDescent="0.25">
      <c r="A5" s="73" t="s">
        <v>97</v>
      </c>
      <c r="B5" s="20" t="s">
        <v>52</v>
      </c>
      <c r="C5" s="104">
        <v>1</v>
      </c>
      <c r="D5" s="14" t="s">
        <v>118</v>
      </c>
      <c r="E5" s="74" t="s">
        <v>119</v>
      </c>
    </row>
    <row r="6" spans="1:6" ht="30" x14ac:dyDescent="0.25">
      <c r="A6" s="73" t="s">
        <v>97</v>
      </c>
      <c r="B6" s="20" t="s">
        <v>64</v>
      </c>
      <c r="C6" s="105">
        <v>0.5</v>
      </c>
      <c r="D6" s="14" t="s">
        <v>113</v>
      </c>
      <c r="E6" s="74" t="s">
        <v>54</v>
      </c>
    </row>
    <row r="7" spans="1:6" ht="60" x14ac:dyDescent="0.25">
      <c r="A7" s="73" t="s">
        <v>34</v>
      </c>
      <c r="B7" s="20" t="s">
        <v>55</v>
      </c>
      <c r="C7" s="105">
        <v>0.2</v>
      </c>
      <c r="D7" s="14" t="s">
        <v>113</v>
      </c>
      <c r="E7" s="77" t="s">
        <v>75</v>
      </c>
    </row>
    <row r="8" spans="1:6" ht="60" x14ac:dyDescent="0.25">
      <c r="A8" s="73" t="s">
        <v>34</v>
      </c>
      <c r="B8" s="20" t="s">
        <v>56</v>
      </c>
      <c r="C8" s="105">
        <v>0.3</v>
      </c>
      <c r="D8" s="14" t="s">
        <v>113</v>
      </c>
      <c r="E8" s="77" t="s">
        <v>75</v>
      </c>
    </row>
    <row r="9" spans="1:6" ht="60" x14ac:dyDescent="0.25">
      <c r="A9" s="73" t="s">
        <v>34</v>
      </c>
      <c r="B9" s="20" t="s">
        <v>57</v>
      </c>
      <c r="C9" s="105">
        <v>0.5</v>
      </c>
      <c r="D9" s="14" t="s">
        <v>113</v>
      </c>
      <c r="E9" s="77" t="s">
        <v>75</v>
      </c>
    </row>
    <row r="10" spans="1:6" ht="90" x14ac:dyDescent="0.25">
      <c r="A10" s="73" t="s">
        <v>34</v>
      </c>
      <c r="B10" s="20" t="s">
        <v>58</v>
      </c>
      <c r="C10" s="105">
        <v>0.2</v>
      </c>
      <c r="D10" s="14" t="s">
        <v>113</v>
      </c>
      <c r="E10" s="77" t="s">
        <v>160</v>
      </c>
    </row>
    <row r="11" spans="1:6" ht="90" x14ac:dyDescent="0.25">
      <c r="A11" s="73" t="s">
        <v>34</v>
      </c>
      <c r="B11" s="20" t="s">
        <v>59</v>
      </c>
      <c r="C11" s="105">
        <v>0.3</v>
      </c>
      <c r="D11" s="14" t="s">
        <v>113</v>
      </c>
      <c r="E11" s="77" t="s">
        <v>160</v>
      </c>
    </row>
    <row r="12" spans="1:6" ht="90" x14ac:dyDescent="0.25">
      <c r="A12" s="73" t="s">
        <v>34</v>
      </c>
      <c r="B12" s="20" t="s">
        <v>60</v>
      </c>
      <c r="C12" s="105">
        <v>0.5</v>
      </c>
      <c r="D12" s="14" t="s">
        <v>113</v>
      </c>
      <c r="E12" s="77" t="s">
        <v>160</v>
      </c>
    </row>
    <row r="13" spans="1:6" ht="18" x14ac:dyDescent="0.25">
      <c r="A13" s="73" t="s">
        <v>69</v>
      </c>
      <c r="B13" s="20" t="s">
        <v>72</v>
      </c>
      <c r="C13" s="103">
        <v>0.2</v>
      </c>
      <c r="D13" s="14" t="s">
        <v>118</v>
      </c>
      <c r="E13" s="74" t="s">
        <v>120</v>
      </c>
    </row>
    <row r="14" spans="1:6" ht="96" x14ac:dyDescent="0.25">
      <c r="A14" s="73" t="s">
        <v>31</v>
      </c>
      <c r="B14" s="20" t="s">
        <v>13</v>
      </c>
      <c r="C14" s="103">
        <v>0.14000000000000001</v>
      </c>
      <c r="D14" s="14" t="s">
        <v>118</v>
      </c>
      <c r="E14" s="74" t="s">
        <v>161</v>
      </c>
    </row>
    <row r="15" spans="1:6" ht="96" x14ac:dyDescent="0.25">
      <c r="A15" s="73" t="s">
        <v>31</v>
      </c>
      <c r="B15" s="20" t="s">
        <v>14</v>
      </c>
      <c r="C15" s="103">
        <v>0.28999999999999998</v>
      </c>
      <c r="D15" s="14" t="s">
        <v>118</v>
      </c>
      <c r="E15" s="74" t="s">
        <v>161</v>
      </c>
    </row>
    <row r="16" spans="1:6" ht="96" x14ac:dyDescent="0.25">
      <c r="A16" s="73" t="s">
        <v>31</v>
      </c>
      <c r="B16" s="20" t="s">
        <v>15</v>
      </c>
      <c r="C16" s="103">
        <v>0.91</v>
      </c>
      <c r="D16" s="14" t="s">
        <v>118</v>
      </c>
      <c r="E16" s="74" t="s">
        <v>161</v>
      </c>
    </row>
    <row r="17" spans="1:5" ht="18" x14ac:dyDescent="0.25">
      <c r="A17" s="73" t="s">
        <v>32</v>
      </c>
      <c r="B17" s="20" t="s">
        <v>65</v>
      </c>
      <c r="C17" s="106">
        <v>6</v>
      </c>
      <c r="D17" s="14" t="s">
        <v>118</v>
      </c>
      <c r="E17" s="74" t="s">
        <v>68</v>
      </c>
    </row>
    <row r="18" spans="1:5" x14ac:dyDescent="0.25">
      <c r="A18" s="49" t="s">
        <v>32</v>
      </c>
      <c r="B18" s="82" t="s">
        <v>61</v>
      </c>
      <c r="C18" s="107">
        <v>1</v>
      </c>
      <c r="D18" s="45" t="s">
        <v>113</v>
      </c>
      <c r="E18" s="85" t="s">
        <v>62</v>
      </c>
    </row>
    <row r="20" spans="1:5" x14ac:dyDescent="0.25">
      <c r="C20" s="44"/>
    </row>
    <row r="21" spans="1:5" x14ac:dyDescent="0.25">
      <c r="C21" s="44"/>
    </row>
    <row r="22" spans="1:5" x14ac:dyDescent="0.25">
      <c r="C22" s="44"/>
    </row>
    <row r="23" spans="1:5" x14ac:dyDescent="0.25">
      <c r="C23" s="44"/>
    </row>
    <row r="24" spans="1:5" x14ac:dyDescent="0.25">
      <c r="C24" s="44"/>
    </row>
    <row r="25" spans="1:5" x14ac:dyDescent="0.25">
      <c r="C25" s="44"/>
    </row>
    <row r="26" spans="1:5" x14ac:dyDescent="0.25">
      <c r="C26" s="44"/>
    </row>
    <row r="27" spans="1:5" x14ac:dyDescent="0.25">
      <c r="C27" s="44"/>
    </row>
    <row r="28" spans="1:5" x14ac:dyDescent="0.25">
      <c r="C28" s="44"/>
    </row>
    <row r="29" spans="1:5" x14ac:dyDescent="0.25">
      <c r="C29" s="44"/>
    </row>
    <row r="30" spans="1:5" x14ac:dyDescent="0.25">
      <c r="C30" s="44"/>
    </row>
    <row r="31" spans="1:5" x14ac:dyDescent="0.25">
      <c r="C31" s="44"/>
    </row>
    <row r="32" spans="1:5" x14ac:dyDescent="0.25">
      <c r="C32" s="44"/>
    </row>
    <row r="33" spans="3:3" x14ac:dyDescent="0.25">
      <c r="C33" s="44"/>
    </row>
    <row r="34" spans="3:3" x14ac:dyDescent="0.25">
      <c r="C34" s="44"/>
    </row>
    <row r="35" spans="3:3" x14ac:dyDescent="0.25">
      <c r="C35" s="44"/>
    </row>
    <row r="36" spans="3:3" x14ac:dyDescent="0.25">
      <c r="C36" s="44"/>
    </row>
    <row r="37" spans="3:3" x14ac:dyDescent="0.25">
      <c r="C37" s="44"/>
    </row>
    <row r="38" spans="3:3" x14ac:dyDescent="0.25">
      <c r="C38" s="44"/>
    </row>
    <row r="39" spans="3:3" x14ac:dyDescent="0.25">
      <c r="C39" s="44"/>
    </row>
    <row r="40" spans="3:3" x14ac:dyDescent="0.25">
      <c r="C40" s="44"/>
    </row>
    <row r="41" spans="3:3" x14ac:dyDescent="0.25">
      <c r="C41" s="44"/>
    </row>
    <row r="42" spans="3:3" x14ac:dyDescent="0.25">
      <c r="C42" s="44"/>
    </row>
    <row r="43" spans="3:3" x14ac:dyDescent="0.25">
      <c r="C43" s="44"/>
    </row>
    <row r="44" spans="3:3" x14ac:dyDescent="0.25">
      <c r="C44" s="44"/>
    </row>
    <row r="45" spans="3:3" x14ac:dyDescent="0.25">
      <c r="C45" s="44"/>
    </row>
    <row r="46" spans="3:3" x14ac:dyDescent="0.25">
      <c r="C46" s="44"/>
    </row>
  </sheetData>
  <sheetProtection algorithmName="SHA-512" hashValue="STT31K/7oLdX8pNoq2fl5XXfSP0r0awwx5ALkgqhsB3/XfawkNAApUo8up6sYKdNF8YNGtzGhqQ9JDrS3NKkSA==" saltValue="iLNygkoNtSJPwrn8/BG3RA==" spinCount="100000" sheet="1" objects="1" scenarios="1"/>
  <printOptions horizontalCentered="1"/>
  <pageMargins left="0.7" right="0.7" top="0.75" bottom="0.75" header="0.3" footer="0.3"/>
  <pageSetup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F6212-CF2A-484A-9C7C-D496DA06AB6B}">
  <dimension ref="A1:E134"/>
  <sheetViews>
    <sheetView topLeftCell="B1" zoomScaleNormal="100" workbookViewId="0">
      <selection activeCell="C12" sqref="C12"/>
    </sheetView>
  </sheetViews>
  <sheetFormatPr defaultColWidth="8.85546875" defaultRowHeight="15" x14ac:dyDescent="0.2"/>
  <cols>
    <col min="1" max="1" width="39.5703125" style="19" customWidth="1"/>
    <col min="2" max="2" width="64.42578125" style="19" customWidth="1"/>
    <col min="3" max="3" width="32.28515625" style="19" customWidth="1"/>
    <col min="4" max="4" width="10.140625" style="19" customWidth="1"/>
    <col min="5" max="5" width="51" style="19" customWidth="1"/>
    <col min="6" max="16384" width="8.85546875" style="10"/>
  </cols>
  <sheetData>
    <row r="1" spans="1:5" s="42" customFormat="1" ht="15.75" x14ac:dyDescent="0.25">
      <c r="A1" s="41" t="s">
        <v>121</v>
      </c>
      <c r="B1" s="18"/>
      <c r="C1" s="41"/>
      <c r="D1" s="41"/>
      <c r="E1" s="41"/>
    </row>
    <row r="2" spans="1:5" ht="15.75" x14ac:dyDescent="0.2">
      <c r="A2" s="80" t="s">
        <v>25</v>
      </c>
      <c r="B2" s="80" t="s">
        <v>1</v>
      </c>
      <c r="C2" s="80" t="s">
        <v>174</v>
      </c>
      <c r="D2" s="80" t="s">
        <v>26</v>
      </c>
      <c r="E2" s="81" t="s">
        <v>27</v>
      </c>
    </row>
    <row r="3" spans="1:5" ht="18" x14ac:dyDescent="0.2">
      <c r="A3" s="45" t="s">
        <v>29</v>
      </c>
      <c r="B3" s="14" t="s">
        <v>4</v>
      </c>
      <c r="C3" s="46">
        <f>'Other Default Inputs'!C3*'Simplified User Inputs'!C3</f>
        <v>267.89999999999998</v>
      </c>
      <c r="D3" s="14" t="s">
        <v>122</v>
      </c>
      <c r="E3" s="100" t="s">
        <v>151</v>
      </c>
    </row>
    <row r="4" spans="1:5" ht="15.75" x14ac:dyDescent="0.2">
      <c r="A4" s="45" t="s">
        <v>97</v>
      </c>
      <c r="B4" s="14" t="s">
        <v>12</v>
      </c>
      <c r="C4" s="47">
        <f>'Simplified User Inputs'!C4-'Simplified User Inputs'!C7</f>
        <v>26</v>
      </c>
      <c r="D4" s="14" t="s">
        <v>5</v>
      </c>
      <c r="E4" s="100" t="s">
        <v>152</v>
      </c>
    </row>
    <row r="5" spans="1:5" ht="18" x14ac:dyDescent="0.2">
      <c r="A5" s="45" t="s">
        <v>97</v>
      </c>
      <c r="B5" s="14" t="s">
        <v>53</v>
      </c>
      <c r="C5" s="47">
        <f>IF('Simplified User Inputs'!C8=0,'Other Default Inputs'!C5,IF('Simplified User Inputs'!C8=1,'Other Default Inputs'!C5*(1-'Other Default Inputs'!C6),"Input mask information"))</f>
        <v>1</v>
      </c>
      <c r="D5" s="14" t="s">
        <v>118</v>
      </c>
      <c r="E5" s="100" t="s">
        <v>151</v>
      </c>
    </row>
    <row r="6" spans="1:5" ht="18" x14ac:dyDescent="0.2">
      <c r="A6" s="45" t="s">
        <v>69</v>
      </c>
      <c r="B6" s="14" t="s">
        <v>112</v>
      </c>
      <c r="C6" s="48">
        <f>'Simplified User Inputs'!C9*'Simplified User Inputs'!C4*3600/1000</f>
        <v>680.4</v>
      </c>
      <c r="D6" s="14" t="s">
        <v>109</v>
      </c>
      <c r="E6" s="100" t="s">
        <v>152</v>
      </c>
    </row>
    <row r="7" spans="1:5" ht="18" x14ac:dyDescent="0.2">
      <c r="A7" s="45" t="s">
        <v>69</v>
      </c>
      <c r="B7" s="14" t="s">
        <v>73</v>
      </c>
      <c r="C7" s="46">
        <f>C6/C3</f>
        <v>2.5397536394176932</v>
      </c>
      <c r="D7" s="14" t="s">
        <v>118</v>
      </c>
      <c r="E7" s="100" t="s">
        <v>150</v>
      </c>
    </row>
    <row r="8" spans="1:5" ht="30" x14ac:dyDescent="0.2">
      <c r="A8" s="45" t="s">
        <v>69</v>
      </c>
      <c r="B8" s="14" t="s">
        <v>71</v>
      </c>
      <c r="C8" s="48">
        <f>C3*'Other Default Inputs'!C13</f>
        <v>53.58</v>
      </c>
      <c r="D8" s="14" t="s">
        <v>109</v>
      </c>
      <c r="E8" s="100" t="s">
        <v>153</v>
      </c>
    </row>
    <row r="9" spans="1:5" ht="18" x14ac:dyDescent="0.2">
      <c r="A9" s="45" t="s">
        <v>69</v>
      </c>
      <c r="B9" s="14" t="s">
        <v>85</v>
      </c>
      <c r="C9" s="48">
        <f>C6+C8</f>
        <v>733.98</v>
      </c>
      <c r="D9" s="14" t="s">
        <v>109</v>
      </c>
      <c r="E9" s="100" t="s">
        <v>154</v>
      </c>
    </row>
    <row r="10" spans="1:5" ht="30" x14ac:dyDescent="0.2">
      <c r="A10" s="45" t="s">
        <v>69</v>
      </c>
      <c r="B10" s="14" t="s">
        <v>86</v>
      </c>
      <c r="C10" s="46">
        <f>C9/C3</f>
        <v>2.7397536394176933</v>
      </c>
      <c r="D10" s="14" t="s">
        <v>2</v>
      </c>
      <c r="E10" s="100" t="s">
        <v>172</v>
      </c>
    </row>
    <row r="11" spans="1:5" ht="18" x14ac:dyDescent="0.2">
      <c r="A11" s="45" t="s">
        <v>31</v>
      </c>
      <c r="B11" s="14" t="s">
        <v>16</v>
      </c>
      <c r="C11" s="46">
        <f>'Other Default Inputs'!C7*'Other Default Inputs'!C14+'Other Default Inputs'!C8*'Other Default Inputs'!C15+'Other Default Inputs'!C9*'Other Default Inputs'!C16</f>
        <v>0.57000000000000006</v>
      </c>
      <c r="D11" s="14" t="s">
        <v>118</v>
      </c>
      <c r="E11" s="100" t="s">
        <v>155</v>
      </c>
    </row>
    <row r="12" spans="1:5" ht="18" x14ac:dyDescent="0.2">
      <c r="A12" s="49" t="s">
        <v>32</v>
      </c>
      <c r="B12" s="14" t="s">
        <v>7</v>
      </c>
      <c r="C12" s="48">
        <f>'Other Default Inputs'!C17*C3</f>
        <v>1607.3999999999999</v>
      </c>
      <c r="D12" s="14" t="s">
        <v>109</v>
      </c>
      <c r="E12" s="100" t="s">
        <v>155</v>
      </c>
    </row>
    <row r="13" spans="1:5" ht="15.75" x14ac:dyDescent="0.2">
      <c r="A13" s="49" t="s">
        <v>32</v>
      </c>
      <c r="B13" s="14" t="s">
        <v>66</v>
      </c>
      <c r="C13" s="50">
        <f>(C12-C6)/C12</f>
        <v>0.57670772676371773</v>
      </c>
      <c r="D13" s="14" t="s">
        <v>113</v>
      </c>
      <c r="E13" s="100" t="s">
        <v>156</v>
      </c>
    </row>
    <row r="14" spans="1:5" ht="45" x14ac:dyDescent="0.2">
      <c r="A14" s="49" t="s">
        <v>32</v>
      </c>
      <c r="B14" s="14" t="s">
        <v>17</v>
      </c>
      <c r="C14" s="50">
        <f>IF('Simplified User Inputs'!C10=0,'Simplified MERV Table '!B3,(IF('Simplified User Inputs'!C10=1,'Simplified MERV Table '!C3,(IF('Simplified User Inputs'!C10=2,'Simplified MERV Table '!D3,(IF('Simplified User Inputs'!C10=3,'Simplified MERV Table '!E3,(IF('Simplified User Inputs'!C10=4,'Simplified MERV Table '!F3,(IF('Simplified User Inputs'!C10=5,'Simplified MERV Table '!G3,(IF('Simplified User Inputs'!C10=6,'Simplified MERV Table '!H3,(IF('Simplified User Inputs'!C10=7,'Simplified MERV Table '!I3,(IF('Simplified User Inputs'!C10=8,'Simplified MERV Table '!J3,(IF('Simplified User Inputs'!C10=9,'Simplified MERV Table '!K3,(IF('Simplified User Inputs'!C10=10,'Simplified MERV Table '!L3,(IF('Simplified User Inputs'!C10=11,'Simplified MERV Table '!M3,(IF('Simplified User Inputs'!C10=12,'Simplified MERV Table '!N3,(IF('Simplified User Inputs'!C10=13,'Simplified MERV Table '!O3,(IF('Simplified User Inputs'!C10=14,'Simplified MERV Table '!P3,(IF('Simplified User Inputs'!C10=15,'Simplified MERV Table '!Q3,(IF('Simplified User Inputs'!C10=16,'Simplified MERV Table '!R3,"Error")))))))))))))))))))))))))))))))))</f>
        <v>0.14833333333333332</v>
      </c>
      <c r="D14" s="14" t="s">
        <v>113</v>
      </c>
      <c r="E14" s="85" t="s">
        <v>76</v>
      </c>
    </row>
    <row r="15" spans="1:5" ht="45" x14ac:dyDescent="0.2">
      <c r="A15" s="49" t="s">
        <v>32</v>
      </c>
      <c r="B15" s="14" t="s">
        <v>18</v>
      </c>
      <c r="C15" s="50">
        <f>IF('Simplified User Inputs'!C10=0,'Simplified MERV Table '!B4,(IF('Simplified User Inputs'!C10=1,'Simplified MERV Table '!C4,(IF('Simplified User Inputs'!C10=2,'Simplified MERV Table '!D4,(IF('Simplified User Inputs'!C10=3,'Simplified MERV Table '!E4,(IF('Simplified User Inputs'!C10=4,'Simplified MERV Table '!F4,(IF('Simplified User Inputs'!C10=5,'Simplified MERV Table '!G4,(IF('Simplified User Inputs'!C10=6,'Simplified MERV Table '!H4,(IF('Simplified User Inputs'!C10=7,'Simplified MERV Table '!I4,(IF('Simplified User Inputs'!C10=8,'Simplified MERV Table '!J4,(IF('Simplified User Inputs'!C10=9,'Simplified MERV Table '!K4,(IF('Simplified User Inputs'!C10=10,'Simplified MERV Table '!L4,(IF('Simplified User Inputs'!C10=11,'Simplified MERV Table '!M4,(IF('Simplified User Inputs'!C10=12,'Simplified MERV Table '!N4,(IF('Simplified User Inputs'!C10=13,'Simplified MERV Table '!O4,(IF('Simplified User Inputs'!C10=14,'Simplified MERV Table '!P4,(IF('Simplified User Inputs'!C10=15,'Simplified MERV Table '!Q4,(IF('Simplified User Inputs'!C10=16,'Simplified MERV Table '!R4,"Error")))))))))))))))))))))))))))))))))</f>
        <v>0.27499999999999997</v>
      </c>
      <c r="D15" s="14" t="s">
        <v>113</v>
      </c>
      <c r="E15" s="85" t="s">
        <v>76</v>
      </c>
    </row>
    <row r="16" spans="1:5" ht="45" x14ac:dyDescent="0.2">
      <c r="A16" s="49" t="s">
        <v>32</v>
      </c>
      <c r="B16" s="14" t="s">
        <v>19</v>
      </c>
      <c r="C16" s="50">
        <f>IF('Simplified User Inputs'!C10=0,'Simplified MERV Table '!B5,(IF('Simplified User Inputs'!C10=1,'Simplified MERV Table '!C5,(IF('Simplified User Inputs'!C10=2,'Simplified MERV Table '!D5,(IF('Simplified User Inputs'!C10=3,'Simplified MERV Table '!E5,(IF('Simplified User Inputs'!C10=4,'Simplified MERV Table '!F5,(IF('Simplified User Inputs'!C10=5,'Simplified MERV Table '!G5,(IF('Simplified User Inputs'!C10=6,'Simplified MERV Table '!H5,(IF('Simplified User Inputs'!C10=7,'Simplified MERV Table '!I5,(IF('Simplified User Inputs'!C10=8,'Simplified MERV Table '!J5,(IF('Simplified User Inputs'!C10=9,'Simplified MERV Table '!K5,(IF('Simplified User Inputs'!C10=10,'Simplified MERV Table '!L5,(IF('Simplified User Inputs'!C10=11,'Simplified MERV Table '!M5,(IF('Simplified User Inputs'!C10=12,'Simplified MERV Table '!N5,(IF('Simplified User Inputs'!C10=13,'Simplified MERV Table '!O5,(IF('Simplified User Inputs'!C10=14,'Simplified MERV Table '!P5,(IF('Simplified User Inputs'!C10=15,'Simplified MERV Table '!Q5,(IF('Simplified User Inputs'!C10=16,'Simplified MERV Table '!R5,"Error")))))))))))))))))))))))))))))))))</f>
        <v>0.7</v>
      </c>
      <c r="D16" s="14" t="s">
        <v>113</v>
      </c>
      <c r="E16" s="85" t="s">
        <v>76</v>
      </c>
    </row>
    <row r="17" spans="1:5" ht="75" x14ac:dyDescent="0.2">
      <c r="A17" s="49" t="s">
        <v>32</v>
      </c>
      <c r="B17" s="14" t="s">
        <v>20</v>
      </c>
      <c r="C17" s="46">
        <f>C12*C13*C14*'Other Default Inputs'!C18/C3</f>
        <v>0.5132698768197087</v>
      </c>
      <c r="D17" s="14" t="s">
        <v>118</v>
      </c>
      <c r="E17" s="85" t="s">
        <v>162</v>
      </c>
    </row>
    <row r="18" spans="1:5" ht="75" x14ac:dyDescent="0.2">
      <c r="A18" s="49" t="s">
        <v>32</v>
      </c>
      <c r="B18" s="14" t="s">
        <v>21</v>
      </c>
      <c r="C18" s="46">
        <f>C12*C13*C15*'Other Default Inputs'!C18/C3</f>
        <v>0.95156774916013409</v>
      </c>
      <c r="D18" s="14" t="s">
        <v>118</v>
      </c>
      <c r="E18" s="85" t="s">
        <v>163</v>
      </c>
    </row>
    <row r="19" spans="1:5" ht="75" x14ac:dyDescent="0.2">
      <c r="A19" s="49" t="s">
        <v>32</v>
      </c>
      <c r="B19" s="14" t="s">
        <v>22</v>
      </c>
      <c r="C19" s="46">
        <f>C12*C13*C16*'Other Default Inputs'!C18/C3</f>
        <v>2.4221724524076143</v>
      </c>
      <c r="D19" s="14" t="s">
        <v>118</v>
      </c>
      <c r="E19" s="85" t="s">
        <v>164</v>
      </c>
    </row>
    <row r="20" spans="1:5" ht="30" x14ac:dyDescent="0.2">
      <c r="A20" s="49" t="s">
        <v>32</v>
      </c>
      <c r="B20" s="14" t="s">
        <v>38</v>
      </c>
      <c r="C20" s="46">
        <f>'Other Default Inputs'!C7*C17+'Other Default Inputs'!C8*C18+'Other Default Inputs'!C9*C19</f>
        <v>1.599210526315789</v>
      </c>
      <c r="D20" s="14" t="s">
        <v>118</v>
      </c>
      <c r="E20" s="100" t="s">
        <v>171</v>
      </c>
    </row>
    <row r="21" spans="1:5" ht="60" x14ac:dyDescent="0.2">
      <c r="A21" s="45" t="s">
        <v>79</v>
      </c>
      <c r="B21" s="14" t="s">
        <v>40</v>
      </c>
      <c r="C21" s="46">
        <f>'Simplified User Inputs'!C11/C$3</f>
        <v>0</v>
      </c>
      <c r="D21" s="14" t="s">
        <v>123</v>
      </c>
      <c r="E21" s="85" t="s">
        <v>77</v>
      </c>
    </row>
    <row r="22" spans="1:5" ht="60" x14ac:dyDescent="0.2">
      <c r="A22" s="45" t="s">
        <v>79</v>
      </c>
      <c r="B22" s="14" t="s">
        <v>41</v>
      </c>
      <c r="C22" s="46">
        <f>'Simplified User Inputs'!C12/C$3</f>
        <v>0</v>
      </c>
      <c r="D22" s="14" t="s">
        <v>123</v>
      </c>
      <c r="E22" s="85" t="s">
        <v>77</v>
      </c>
    </row>
    <row r="23" spans="1:5" ht="60" x14ac:dyDescent="0.2">
      <c r="A23" s="14" t="s">
        <v>79</v>
      </c>
      <c r="B23" s="14" t="s">
        <v>42</v>
      </c>
      <c r="C23" s="46">
        <f>'Simplified User Inputs'!C13/C$3</f>
        <v>0</v>
      </c>
      <c r="D23" s="14" t="s">
        <v>123</v>
      </c>
      <c r="E23" s="14" t="s">
        <v>77</v>
      </c>
    </row>
    <row r="24" spans="1:5" ht="30" x14ac:dyDescent="0.2">
      <c r="A24" s="14" t="s">
        <v>79</v>
      </c>
      <c r="B24" s="14" t="s">
        <v>39</v>
      </c>
      <c r="C24" s="46">
        <f>'Other Default Inputs'!C10*C21+'Other Default Inputs'!C11*C22+'Other Default Inputs'!C12*C23</f>
        <v>0</v>
      </c>
      <c r="D24" s="14" t="s">
        <v>123</v>
      </c>
      <c r="E24" s="20" t="s">
        <v>170</v>
      </c>
    </row>
    <row r="25" spans="1:5" x14ac:dyDescent="0.2">
      <c r="C25" s="44"/>
    </row>
    <row r="26" spans="1:5" x14ac:dyDescent="0.2">
      <c r="C26" s="44"/>
    </row>
    <row r="27" spans="1:5" x14ac:dyDescent="0.2">
      <c r="C27" s="44"/>
    </row>
    <row r="28" spans="1:5" x14ac:dyDescent="0.2">
      <c r="C28" s="44"/>
    </row>
    <row r="29" spans="1:5" x14ac:dyDescent="0.2">
      <c r="C29" s="44"/>
    </row>
    <row r="30" spans="1:5" x14ac:dyDescent="0.2">
      <c r="C30" s="44"/>
    </row>
    <row r="31" spans="1:5" x14ac:dyDescent="0.2">
      <c r="C31" s="44"/>
    </row>
    <row r="32" spans="1:5" x14ac:dyDescent="0.2">
      <c r="C32" s="44"/>
    </row>
    <row r="33" spans="3:3" x14ac:dyDescent="0.2">
      <c r="C33" s="44"/>
    </row>
    <row r="34" spans="3:3" x14ac:dyDescent="0.2">
      <c r="C34" s="44"/>
    </row>
    <row r="35" spans="3:3" x14ac:dyDescent="0.2">
      <c r="C35" s="44"/>
    </row>
    <row r="36" spans="3:3" x14ac:dyDescent="0.2">
      <c r="C36" s="44"/>
    </row>
    <row r="37" spans="3:3" x14ac:dyDescent="0.2">
      <c r="C37" s="44"/>
    </row>
    <row r="38" spans="3:3" x14ac:dyDescent="0.2">
      <c r="C38" s="44"/>
    </row>
    <row r="39" spans="3:3" x14ac:dyDescent="0.2">
      <c r="C39" s="44"/>
    </row>
    <row r="40" spans="3:3" x14ac:dyDescent="0.2">
      <c r="C40" s="44"/>
    </row>
    <row r="41" spans="3:3" x14ac:dyDescent="0.2">
      <c r="C41" s="44"/>
    </row>
    <row r="42" spans="3:3" x14ac:dyDescent="0.2">
      <c r="C42" s="44"/>
    </row>
    <row r="43" spans="3:3" x14ac:dyDescent="0.2">
      <c r="C43" s="44"/>
    </row>
    <row r="44" spans="3:3" x14ac:dyDescent="0.2">
      <c r="C44" s="44"/>
    </row>
    <row r="45" spans="3:3" x14ac:dyDescent="0.2">
      <c r="C45" s="44"/>
    </row>
    <row r="46" spans="3:3" x14ac:dyDescent="0.2">
      <c r="C46" s="44"/>
    </row>
    <row r="47" spans="3:3" x14ac:dyDescent="0.2">
      <c r="C47" s="44"/>
    </row>
    <row r="48" spans="3:3" x14ac:dyDescent="0.2">
      <c r="C48" s="44"/>
    </row>
    <row r="49" spans="3:3" x14ac:dyDescent="0.2">
      <c r="C49" s="44"/>
    </row>
    <row r="50" spans="3:3" x14ac:dyDescent="0.2">
      <c r="C50" s="44"/>
    </row>
    <row r="51" spans="3:3" x14ac:dyDescent="0.2">
      <c r="C51" s="44"/>
    </row>
    <row r="52" spans="3:3" x14ac:dyDescent="0.2">
      <c r="C52" s="44"/>
    </row>
    <row r="53" spans="3:3" x14ac:dyDescent="0.2">
      <c r="C53" s="44"/>
    </row>
    <row r="54" spans="3:3" x14ac:dyDescent="0.2">
      <c r="C54" s="44"/>
    </row>
    <row r="55" spans="3:3" x14ac:dyDescent="0.2">
      <c r="C55" s="44"/>
    </row>
    <row r="56" spans="3:3" x14ac:dyDescent="0.2">
      <c r="C56" s="44"/>
    </row>
    <row r="57" spans="3:3" x14ac:dyDescent="0.2">
      <c r="C57" s="44"/>
    </row>
    <row r="58" spans="3:3" x14ac:dyDescent="0.2">
      <c r="C58" s="44"/>
    </row>
    <row r="59" spans="3:3" x14ac:dyDescent="0.2">
      <c r="C59" s="44"/>
    </row>
    <row r="60" spans="3:3" x14ac:dyDescent="0.2">
      <c r="C60" s="44"/>
    </row>
    <row r="61" spans="3:3" x14ac:dyDescent="0.2">
      <c r="C61" s="44"/>
    </row>
    <row r="62" spans="3:3" x14ac:dyDescent="0.2">
      <c r="C62" s="44"/>
    </row>
    <row r="63" spans="3:3" x14ac:dyDescent="0.2">
      <c r="C63" s="44"/>
    </row>
    <row r="64" spans="3:3" x14ac:dyDescent="0.2">
      <c r="C64" s="44"/>
    </row>
    <row r="65" spans="3:3" x14ac:dyDescent="0.2">
      <c r="C65" s="44"/>
    </row>
    <row r="66" spans="3:3" x14ac:dyDescent="0.2">
      <c r="C66" s="44"/>
    </row>
    <row r="67" spans="3:3" x14ac:dyDescent="0.2">
      <c r="C67" s="44"/>
    </row>
    <row r="68" spans="3:3" x14ac:dyDescent="0.2">
      <c r="C68" s="44"/>
    </row>
    <row r="69" spans="3:3" x14ac:dyDescent="0.2">
      <c r="C69" s="44"/>
    </row>
    <row r="70" spans="3:3" x14ac:dyDescent="0.2">
      <c r="C70" s="44"/>
    </row>
    <row r="71" spans="3:3" x14ac:dyDescent="0.2">
      <c r="C71" s="44"/>
    </row>
    <row r="72" spans="3:3" x14ac:dyDescent="0.2">
      <c r="C72" s="44"/>
    </row>
    <row r="73" spans="3:3" x14ac:dyDescent="0.2">
      <c r="C73" s="44"/>
    </row>
    <row r="74" spans="3:3" x14ac:dyDescent="0.2">
      <c r="C74" s="44"/>
    </row>
    <row r="75" spans="3:3" x14ac:dyDescent="0.2">
      <c r="C75" s="44"/>
    </row>
    <row r="76" spans="3:3" x14ac:dyDescent="0.2">
      <c r="C76" s="44"/>
    </row>
    <row r="77" spans="3:3" x14ac:dyDescent="0.2">
      <c r="C77" s="44"/>
    </row>
    <row r="78" spans="3:3" x14ac:dyDescent="0.2">
      <c r="C78" s="44"/>
    </row>
    <row r="79" spans="3:3" x14ac:dyDescent="0.2">
      <c r="C79" s="44"/>
    </row>
    <row r="80" spans="3:3" x14ac:dyDescent="0.2">
      <c r="C80" s="44"/>
    </row>
    <row r="81" spans="3:3" x14ac:dyDescent="0.2">
      <c r="C81" s="44"/>
    </row>
    <row r="82" spans="3:3" x14ac:dyDescent="0.2">
      <c r="C82" s="44"/>
    </row>
    <row r="83" spans="3:3" x14ac:dyDescent="0.2">
      <c r="C83" s="44"/>
    </row>
    <row r="84" spans="3:3" x14ac:dyDescent="0.2">
      <c r="C84" s="44"/>
    </row>
    <row r="85" spans="3:3" x14ac:dyDescent="0.2">
      <c r="C85" s="44"/>
    </row>
    <row r="86" spans="3:3" x14ac:dyDescent="0.2">
      <c r="C86" s="44"/>
    </row>
    <row r="87" spans="3:3" x14ac:dyDescent="0.2">
      <c r="C87" s="44"/>
    </row>
    <row r="88" spans="3:3" x14ac:dyDescent="0.2">
      <c r="C88" s="44"/>
    </row>
    <row r="89" spans="3:3" x14ac:dyDescent="0.2">
      <c r="C89" s="44"/>
    </row>
    <row r="90" spans="3:3" x14ac:dyDescent="0.2">
      <c r="C90" s="44"/>
    </row>
    <row r="91" spans="3:3" x14ac:dyDescent="0.2">
      <c r="C91" s="44"/>
    </row>
    <row r="92" spans="3:3" x14ac:dyDescent="0.2">
      <c r="C92" s="44"/>
    </row>
    <row r="93" spans="3:3" x14ac:dyDescent="0.2">
      <c r="C93" s="44"/>
    </row>
    <row r="94" spans="3:3" x14ac:dyDescent="0.2">
      <c r="C94" s="44"/>
    </row>
    <row r="95" spans="3:3" x14ac:dyDescent="0.2">
      <c r="C95" s="44"/>
    </row>
    <row r="96" spans="3:3" x14ac:dyDescent="0.2">
      <c r="C96" s="44"/>
    </row>
    <row r="97" spans="3:3" x14ac:dyDescent="0.2">
      <c r="C97" s="44"/>
    </row>
    <row r="98" spans="3:3" x14ac:dyDescent="0.2">
      <c r="C98" s="44"/>
    </row>
    <row r="99" spans="3:3" x14ac:dyDescent="0.2">
      <c r="C99" s="44"/>
    </row>
    <row r="100" spans="3:3" x14ac:dyDescent="0.2">
      <c r="C100" s="44"/>
    </row>
    <row r="101" spans="3:3" x14ac:dyDescent="0.2">
      <c r="C101" s="44"/>
    </row>
    <row r="102" spans="3:3" x14ac:dyDescent="0.2">
      <c r="C102" s="44"/>
    </row>
    <row r="103" spans="3:3" x14ac:dyDescent="0.2">
      <c r="C103" s="44"/>
    </row>
    <row r="104" spans="3:3" x14ac:dyDescent="0.2">
      <c r="C104" s="44"/>
    </row>
    <row r="105" spans="3:3" x14ac:dyDescent="0.2">
      <c r="C105" s="44"/>
    </row>
    <row r="106" spans="3:3" x14ac:dyDescent="0.2">
      <c r="C106" s="44"/>
    </row>
    <row r="107" spans="3:3" x14ac:dyDescent="0.2">
      <c r="C107" s="44"/>
    </row>
    <row r="108" spans="3:3" x14ac:dyDescent="0.2">
      <c r="C108" s="44"/>
    </row>
    <row r="109" spans="3:3" x14ac:dyDescent="0.2">
      <c r="C109" s="44"/>
    </row>
    <row r="110" spans="3:3" x14ac:dyDescent="0.2">
      <c r="C110" s="44"/>
    </row>
    <row r="111" spans="3:3" x14ac:dyDescent="0.2">
      <c r="C111" s="44"/>
    </row>
    <row r="112" spans="3:3" x14ac:dyDescent="0.2">
      <c r="C112" s="44"/>
    </row>
    <row r="113" spans="3:3" x14ac:dyDescent="0.2">
      <c r="C113" s="44"/>
    </row>
    <row r="114" spans="3:3" x14ac:dyDescent="0.2">
      <c r="C114" s="44"/>
    </row>
    <row r="115" spans="3:3" x14ac:dyDescent="0.2">
      <c r="C115" s="44"/>
    </row>
    <row r="116" spans="3:3" x14ac:dyDescent="0.2">
      <c r="C116" s="44"/>
    </row>
    <row r="117" spans="3:3" x14ac:dyDescent="0.2">
      <c r="C117" s="44"/>
    </row>
    <row r="118" spans="3:3" x14ac:dyDescent="0.2">
      <c r="C118" s="44"/>
    </row>
    <row r="119" spans="3:3" x14ac:dyDescent="0.2">
      <c r="C119" s="44"/>
    </row>
    <row r="120" spans="3:3" x14ac:dyDescent="0.2">
      <c r="C120" s="44"/>
    </row>
    <row r="121" spans="3:3" x14ac:dyDescent="0.2">
      <c r="C121" s="44"/>
    </row>
    <row r="122" spans="3:3" x14ac:dyDescent="0.2">
      <c r="C122" s="44"/>
    </row>
    <row r="123" spans="3:3" x14ac:dyDescent="0.2">
      <c r="C123" s="44"/>
    </row>
    <row r="124" spans="3:3" x14ac:dyDescent="0.2">
      <c r="C124" s="44"/>
    </row>
    <row r="125" spans="3:3" x14ac:dyDescent="0.2">
      <c r="C125" s="44"/>
    </row>
    <row r="126" spans="3:3" x14ac:dyDescent="0.2">
      <c r="C126" s="44"/>
    </row>
    <row r="127" spans="3:3" x14ac:dyDescent="0.2">
      <c r="C127" s="44"/>
    </row>
    <row r="128" spans="3:3" x14ac:dyDescent="0.2">
      <c r="C128" s="44"/>
    </row>
    <row r="129" spans="3:3" x14ac:dyDescent="0.2">
      <c r="C129" s="44"/>
    </row>
    <row r="130" spans="3:3" x14ac:dyDescent="0.2">
      <c r="C130" s="44"/>
    </row>
    <row r="131" spans="3:3" x14ac:dyDescent="0.2">
      <c r="C131" s="44"/>
    </row>
    <row r="132" spans="3:3" x14ac:dyDescent="0.2">
      <c r="C132" s="44"/>
    </row>
    <row r="133" spans="3:3" x14ac:dyDescent="0.2">
      <c r="C133" s="44"/>
    </row>
    <row r="134" spans="3:3" x14ac:dyDescent="0.2">
      <c r="C134" s="44"/>
    </row>
  </sheetData>
  <sheetProtection algorithmName="SHA-512" hashValue="O121bXTTYp2UANc5h+zK1+3Qv8N5nSA38cxMWvJakd4LEHV06xwQDKohNnUvt9NXqf/eq62K5GukG8mzuCIjPg==" saltValue="sCFF8X4YPb6HZWMylOsJ4Q==" spinCount="100000" sheet="1" objects="1" scenarios="1"/>
  <printOptions horizontalCentered="1"/>
  <pageMargins left="0.7" right="0.7" top="0.75" bottom="0.75" header="0.3" footer="0.3"/>
  <pageSetup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0"/>
  <sheetViews>
    <sheetView workbookViewId="0">
      <selection activeCell="D5" sqref="D5"/>
    </sheetView>
  </sheetViews>
  <sheetFormatPr defaultColWidth="8.85546875" defaultRowHeight="15" x14ac:dyDescent="0.25"/>
  <cols>
    <col min="1" max="1" width="50.7109375" style="5" customWidth="1"/>
    <col min="2" max="19" width="8.7109375" style="5" customWidth="1"/>
    <col min="20" max="23" width="8.85546875" style="5"/>
  </cols>
  <sheetData>
    <row r="1" spans="1:23" ht="15.75" x14ac:dyDescent="0.25">
      <c r="A1" s="18" t="s">
        <v>63</v>
      </c>
      <c r="B1" s="22"/>
      <c r="C1" s="22"/>
      <c r="D1" s="22"/>
      <c r="E1" s="10"/>
      <c r="F1" s="10"/>
      <c r="G1" s="10"/>
      <c r="H1" s="10"/>
      <c r="I1" s="10"/>
      <c r="J1" s="10"/>
      <c r="K1" s="10"/>
      <c r="L1" s="10"/>
      <c r="M1" s="10"/>
      <c r="N1" s="10"/>
      <c r="O1" s="10"/>
      <c r="P1" s="10"/>
      <c r="Q1" s="10"/>
      <c r="R1" s="10"/>
    </row>
    <row r="2" spans="1:23" ht="15.75" x14ac:dyDescent="0.25">
      <c r="A2" s="63" t="s">
        <v>78</v>
      </c>
      <c r="B2" s="64" t="s">
        <v>128</v>
      </c>
      <c r="C2" s="64" t="s">
        <v>129</v>
      </c>
      <c r="D2" s="64" t="s">
        <v>130</v>
      </c>
      <c r="E2" s="64" t="s">
        <v>131</v>
      </c>
      <c r="F2" s="64" t="s">
        <v>132</v>
      </c>
      <c r="G2" s="64" t="s">
        <v>133</v>
      </c>
      <c r="H2" s="64" t="s">
        <v>134</v>
      </c>
      <c r="I2" s="64" t="s">
        <v>135</v>
      </c>
      <c r="J2" s="64" t="s">
        <v>136</v>
      </c>
      <c r="K2" s="64" t="s">
        <v>137</v>
      </c>
      <c r="L2" s="64" t="s">
        <v>138</v>
      </c>
      <c r="M2" s="64" t="s">
        <v>139</v>
      </c>
      <c r="N2" s="64" t="s">
        <v>140</v>
      </c>
      <c r="O2" s="64" t="s">
        <v>141</v>
      </c>
      <c r="P2" s="64" t="s">
        <v>142</v>
      </c>
      <c r="Q2" s="64" t="s">
        <v>143</v>
      </c>
      <c r="R2" s="65" t="s">
        <v>144</v>
      </c>
    </row>
    <row r="3" spans="1:23" x14ac:dyDescent="0.25">
      <c r="A3" s="62" t="s">
        <v>99</v>
      </c>
      <c r="B3" s="23">
        <v>0</v>
      </c>
      <c r="C3" s="23">
        <v>0</v>
      </c>
      <c r="D3" s="23">
        <v>0</v>
      </c>
      <c r="E3" s="23">
        <v>0</v>
      </c>
      <c r="F3" s="23">
        <v>0</v>
      </c>
      <c r="G3" s="23">
        <f>AVERAGE('Data Source for MERV Table'!G4:G5)/3</f>
        <v>1.8333333333333333E-2</v>
      </c>
      <c r="H3" s="23">
        <f>G3</f>
        <v>1.8333333333333333E-2</v>
      </c>
      <c r="I3" s="23">
        <f>AVERAGE('Data Source for MERV Table'!I4:I5)/3</f>
        <v>0.14833333333333332</v>
      </c>
      <c r="J3" s="23">
        <f>AVERAGE('Data Source for MERV Table'!J4:J5)/3</f>
        <v>0.14833333333333332</v>
      </c>
      <c r="K3" s="23">
        <f>J3</f>
        <v>0.14833333333333332</v>
      </c>
      <c r="L3" s="23">
        <f>K3</f>
        <v>0.14833333333333332</v>
      </c>
      <c r="M3" s="23">
        <f>AVERAGE('Data Source for MERV Table'!M4:M5)/3</f>
        <v>0.19333333333333336</v>
      </c>
      <c r="N3" s="23">
        <f>AVERAGE('Data Source for MERV Table'!N4:N5)/3</f>
        <v>0.19333333333333336</v>
      </c>
      <c r="O3" s="24">
        <f>65/100</f>
        <v>0.65</v>
      </c>
      <c r="P3" s="24">
        <f>75/100</f>
        <v>0.75</v>
      </c>
      <c r="Q3" s="24">
        <f>85/100</f>
        <v>0.85</v>
      </c>
      <c r="R3" s="94">
        <f>95/100</f>
        <v>0.95</v>
      </c>
    </row>
    <row r="4" spans="1:23" x14ac:dyDescent="0.25">
      <c r="A4" s="62" t="s">
        <v>100</v>
      </c>
      <c r="B4" s="23">
        <v>0</v>
      </c>
      <c r="C4" s="25">
        <v>0</v>
      </c>
      <c r="D4" s="25">
        <v>0</v>
      </c>
      <c r="E4" s="25">
        <v>0</v>
      </c>
      <c r="F4" s="25">
        <v>0</v>
      </c>
      <c r="G4" s="25">
        <f>AVERAGE('Data Source for MERV Table'!G5:G6)/3</f>
        <v>8.3333333333333329E-2</v>
      </c>
      <c r="H4" s="25">
        <f>G4</f>
        <v>8.3333333333333329E-2</v>
      </c>
      <c r="I4" s="23">
        <f>AVERAGE('Data Source for MERV Table'!I5:I6)/3</f>
        <v>0.27499999999999997</v>
      </c>
      <c r="J4" s="23">
        <f>AVERAGE('Data Source for MERV Table'!J5:J6)/3</f>
        <v>0.27499999999999997</v>
      </c>
      <c r="K4" s="26">
        <f>40/100</f>
        <v>0.4</v>
      </c>
      <c r="L4" s="26">
        <f>50/100</f>
        <v>0.5</v>
      </c>
      <c r="M4" s="26">
        <f>65/100</f>
        <v>0.65</v>
      </c>
      <c r="N4" s="26">
        <f>80/100</f>
        <v>0.8</v>
      </c>
      <c r="O4" s="24">
        <f t="shared" ref="O4:Q5" si="0">90/100</f>
        <v>0.9</v>
      </c>
      <c r="P4" s="24">
        <f t="shared" si="0"/>
        <v>0.9</v>
      </c>
      <c r="Q4" s="24">
        <f t="shared" si="0"/>
        <v>0.9</v>
      </c>
      <c r="R4" s="94">
        <f>95/100</f>
        <v>0.95</v>
      </c>
    </row>
    <row r="5" spans="1:23" x14ac:dyDescent="0.25">
      <c r="A5" s="66" t="s">
        <v>101</v>
      </c>
      <c r="B5" s="67">
        <v>0</v>
      </c>
      <c r="C5" s="95">
        <f>10/100</f>
        <v>0.1</v>
      </c>
      <c r="D5" s="95">
        <f>10/100</f>
        <v>0.1</v>
      </c>
      <c r="E5" s="95">
        <f>10/100</f>
        <v>0.1</v>
      </c>
      <c r="F5" s="95">
        <f>10/100</f>
        <v>0.1</v>
      </c>
      <c r="G5" s="95">
        <f>20/100</f>
        <v>0.2</v>
      </c>
      <c r="H5" s="95">
        <f>35/100</f>
        <v>0.35</v>
      </c>
      <c r="I5" s="95">
        <f>50/100</f>
        <v>0.5</v>
      </c>
      <c r="J5" s="95">
        <f>70/100</f>
        <v>0.7</v>
      </c>
      <c r="K5" s="95">
        <f>85/100</f>
        <v>0.85</v>
      </c>
      <c r="L5" s="95">
        <f>85/100</f>
        <v>0.85</v>
      </c>
      <c r="M5" s="95">
        <f>85/100</f>
        <v>0.85</v>
      </c>
      <c r="N5" s="95">
        <f>90/100</f>
        <v>0.9</v>
      </c>
      <c r="O5" s="96">
        <f t="shared" si="0"/>
        <v>0.9</v>
      </c>
      <c r="P5" s="96">
        <f t="shared" si="0"/>
        <v>0.9</v>
      </c>
      <c r="Q5" s="96">
        <f t="shared" si="0"/>
        <v>0.9</v>
      </c>
      <c r="R5" s="97">
        <f>95/100</f>
        <v>0.95</v>
      </c>
    </row>
    <row r="6" spans="1:23" s="13" customFormat="1" ht="293.25" x14ac:dyDescent="0.2">
      <c r="A6" s="12" t="s">
        <v>146</v>
      </c>
      <c r="B6" s="92"/>
      <c r="C6" s="92"/>
      <c r="D6" s="92"/>
      <c r="E6" s="12"/>
      <c r="F6" s="12"/>
      <c r="G6" s="12"/>
      <c r="H6" s="12"/>
      <c r="I6" s="12"/>
      <c r="J6" s="12"/>
      <c r="K6" s="12"/>
      <c r="L6" s="12"/>
      <c r="M6" s="12"/>
      <c r="N6" s="12"/>
      <c r="O6" s="12"/>
      <c r="P6" s="12"/>
      <c r="Q6" s="12"/>
      <c r="R6" s="12"/>
      <c r="S6" s="11"/>
      <c r="T6" s="11"/>
      <c r="U6" s="11"/>
      <c r="V6" s="11"/>
      <c r="W6" s="11"/>
    </row>
    <row r="7" spans="1:23" x14ac:dyDescent="0.25">
      <c r="A7" s="93"/>
      <c r="B7" s="93"/>
      <c r="C7" s="93"/>
      <c r="D7" s="93"/>
    </row>
    <row r="8" spans="1:23" x14ac:dyDescent="0.25">
      <c r="A8" s="93"/>
      <c r="B8" s="93"/>
      <c r="C8" s="93"/>
      <c r="D8" s="93"/>
    </row>
    <row r="9" spans="1:23" x14ac:dyDescent="0.25">
      <c r="A9" s="93"/>
      <c r="B9" s="93"/>
      <c r="C9" s="93"/>
      <c r="D9" s="93"/>
    </row>
    <row r="10" spans="1:23" x14ac:dyDescent="0.25">
      <c r="A10" s="93"/>
      <c r="B10" s="93"/>
      <c r="C10" s="93"/>
      <c r="D10" s="93"/>
    </row>
  </sheetData>
  <sheetProtection algorithmName="SHA-512" hashValue="lJgfRfMMm9BD/xJayPG79pXwfHcOy02B99Tca7BHEaXidFexWBYJ+s3ossa2GFWXKrZRQrmo7RCZ8v3p09Tb0w==" saltValue="gxf3Y6TJ8vRsIA5O4YpfXA==" spinCount="100000" sheet="1" objects="1" scenarios="1"/>
  <pageMargins left="0.7" right="0.7" top="0.75" bottom="0.75" header="0.3" footer="0.3"/>
  <pageSetup orientation="portrait" horizontalDpi="1200" verticalDpi="12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17CBA-2C2D-4FF3-8ACA-55A7FBCAE539}">
  <dimension ref="A1:W9"/>
  <sheetViews>
    <sheetView workbookViewId="0">
      <selection activeCell="M29" sqref="M29"/>
    </sheetView>
  </sheetViews>
  <sheetFormatPr defaultColWidth="8.85546875" defaultRowHeight="15" x14ac:dyDescent="0.25"/>
  <cols>
    <col min="1" max="1" width="46.85546875" style="5" customWidth="1"/>
    <col min="2" max="19" width="8.7109375" style="5" customWidth="1"/>
    <col min="20" max="23" width="8.85546875" style="5"/>
  </cols>
  <sheetData>
    <row r="1" spans="1:23" s="27" customFormat="1" ht="15.75" x14ac:dyDescent="0.25">
      <c r="A1" s="98" t="s">
        <v>147</v>
      </c>
      <c r="B1" s="99"/>
      <c r="C1" s="99"/>
      <c r="D1" s="99"/>
      <c r="E1" s="99"/>
      <c r="F1" s="99"/>
      <c r="G1" s="99"/>
      <c r="H1" s="10"/>
      <c r="I1" s="10"/>
      <c r="J1" s="10"/>
      <c r="K1" s="10"/>
      <c r="L1" s="10"/>
      <c r="M1" s="10"/>
      <c r="N1" s="10"/>
      <c r="O1" s="10"/>
      <c r="P1" s="10"/>
      <c r="Q1" s="10"/>
      <c r="R1" s="10"/>
      <c r="S1" s="10"/>
      <c r="T1" s="10"/>
      <c r="U1" s="10"/>
      <c r="V1" s="10"/>
      <c r="W1" s="10"/>
    </row>
    <row r="2" spans="1:23" s="27" customFormat="1" ht="21" customHeight="1" x14ac:dyDescent="0.25">
      <c r="A2" s="63" t="s">
        <v>78</v>
      </c>
      <c r="B2" s="64" t="s">
        <v>128</v>
      </c>
      <c r="C2" s="64" t="s">
        <v>129</v>
      </c>
      <c r="D2" s="64" t="s">
        <v>130</v>
      </c>
      <c r="E2" s="64" t="s">
        <v>131</v>
      </c>
      <c r="F2" s="64" t="s">
        <v>132</v>
      </c>
      <c r="G2" s="64" t="s">
        <v>133</v>
      </c>
      <c r="H2" s="64" t="s">
        <v>134</v>
      </c>
      <c r="I2" s="64" t="s">
        <v>135</v>
      </c>
      <c r="J2" s="64" t="s">
        <v>136</v>
      </c>
      <c r="K2" s="64" t="s">
        <v>137</v>
      </c>
      <c r="L2" s="64" t="s">
        <v>138</v>
      </c>
      <c r="M2" s="64" t="s">
        <v>139</v>
      </c>
      <c r="N2" s="64" t="s">
        <v>140</v>
      </c>
      <c r="O2" s="64" t="s">
        <v>141</v>
      </c>
      <c r="P2" s="64" t="s">
        <v>142</v>
      </c>
      <c r="Q2" s="64" t="s">
        <v>143</v>
      </c>
      <c r="R2" s="65" t="s">
        <v>144</v>
      </c>
      <c r="S2" s="10"/>
      <c r="T2" s="10"/>
      <c r="U2" s="10"/>
      <c r="V2" s="10"/>
      <c r="W2" s="10"/>
    </row>
    <row r="3" spans="1:23" s="10" customFormat="1" ht="21" customHeight="1" x14ac:dyDescent="0.2">
      <c r="A3" s="62" t="s">
        <v>45</v>
      </c>
      <c r="B3" s="23">
        <v>0</v>
      </c>
      <c r="C3" s="71" t="s">
        <v>127</v>
      </c>
      <c r="D3" s="71" t="s">
        <v>127</v>
      </c>
      <c r="E3" s="71" t="s">
        <v>127</v>
      </c>
      <c r="F3" s="71" t="s">
        <v>127</v>
      </c>
      <c r="G3" s="28">
        <v>0.01</v>
      </c>
      <c r="H3" s="71" t="s">
        <v>127</v>
      </c>
      <c r="I3" s="28">
        <v>0.2</v>
      </c>
      <c r="J3" s="28">
        <v>0.2</v>
      </c>
      <c r="K3" s="71" t="s">
        <v>127</v>
      </c>
      <c r="L3" s="71" t="s">
        <v>127</v>
      </c>
      <c r="M3" s="28">
        <v>0.4</v>
      </c>
      <c r="N3" s="28">
        <v>0.4</v>
      </c>
      <c r="O3" s="71" t="s">
        <v>127</v>
      </c>
      <c r="P3" s="29">
        <v>0.86</v>
      </c>
      <c r="Q3" s="29">
        <v>0.86</v>
      </c>
      <c r="R3" s="71" t="s">
        <v>127</v>
      </c>
      <c r="S3" s="30"/>
    </row>
    <row r="4" spans="1:23" s="10" customFormat="1" ht="21" customHeight="1" x14ac:dyDescent="0.2">
      <c r="A4" s="62" t="s">
        <v>46</v>
      </c>
      <c r="B4" s="23">
        <v>0</v>
      </c>
      <c r="C4" s="71" t="s">
        <v>127</v>
      </c>
      <c r="D4" s="71" t="s">
        <v>127</v>
      </c>
      <c r="E4" s="71" t="s">
        <v>127</v>
      </c>
      <c r="F4" s="71" t="s">
        <v>127</v>
      </c>
      <c r="G4" s="28">
        <v>0.01</v>
      </c>
      <c r="H4" s="71" t="s">
        <v>127</v>
      </c>
      <c r="I4" s="28">
        <v>0.2</v>
      </c>
      <c r="J4" s="28">
        <v>0.2</v>
      </c>
      <c r="K4" s="71" t="s">
        <v>127</v>
      </c>
      <c r="L4" s="71" t="s">
        <v>127</v>
      </c>
      <c r="M4" s="31">
        <v>0.4</v>
      </c>
      <c r="N4" s="31">
        <v>0.4</v>
      </c>
      <c r="O4" s="71" t="s">
        <v>127</v>
      </c>
      <c r="P4" s="29">
        <v>0.86</v>
      </c>
      <c r="Q4" s="29">
        <v>0.86</v>
      </c>
      <c r="R4" s="71" t="s">
        <v>127</v>
      </c>
      <c r="S4" s="30"/>
    </row>
    <row r="5" spans="1:23" s="10" customFormat="1" ht="21" customHeight="1" x14ac:dyDescent="0.2">
      <c r="A5" s="62" t="s">
        <v>47</v>
      </c>
      <c r="B5" s="23">
        <v>0</v>
      </c>
      <c r="C5" s="71" t="s">
        <v>127</v>
      </c>
      <c r="D5" s="71" t="s">
        <v>127</v>
      </c>
      <c r="E5" s="71" t="s">
        <v>127</v>
      </c>
      <c r="F5" s="71" t="s">
        <v>127</v>
      </c>
      <c r="G5" s="28">
        <v>0.1</v>
      </c>
      <c r="H5" s="71" t="s">
        <v>127</v>
      </c>
      <c r="I5" s="28">
        <v>0.69</v>
      </c>
      <c r="J5" s="28">
        <v>0.69</v>
      </c>
      <c r="K5" s="71" t="s">
        <v>127</v>
      </c>
      <c r="L5" s="71" t="s">
        <v>127</v>
      </c>
      <c r="M5" s="31">
        <v>0.76</v>
      </c>
      <c r="N5" s="31">
        <v>0.76</v>
      </c>
      <c r="O5" s="71" t="s">
        <v>127</v>
      </c>
      <c r="P5" s="29">
        <v>0.98</v>
      </c>
      <c r="Q5" s="29">
        <v>0.98</v>
      </c>
      <c r="R5" s="71" t="s">
        <v>127</v>
      </c>
      <c r="S5" s="30"/>
    </row>
    <row r="6" spans="1:23" s="10" customFormat="1" ht="21" customHeight="1" x14ac:dyDescent="0.2">
      <c r="A6" s="62" t="s">
        <v>48</v>
      </c>
      <c r="B6" s="23">
        <v>0</v>
      </c>
      <c r="C6" s="71" t="s">
        <v>127</v>
      </c>
      <c r="D6" s="71" t="s">
        <v>127</v>
      </c>
      <c r="E6" s="71" t="s">
        <v>127</v>
      </c>
      <c r="F6" s="71" t="s">
        <v>127</v>
      </c>
      <c r="G6" s="28">
        <v>0.4</v>
      </c>
      <c r="H6" s="71" t="s">
        <v>127</v>
      </c>
      <c r="I6" s="28">
        <v>0.96</v>
      </c>
      <c r="J6" s="28">
        <v>0.96</v>
      </c>
      <c r="K6" s="71" t="s">
        <v>127</v>
      </c>
      <c r="L6" s="71" t="s">
        <v>127</v>
      </c>
      <c r="M6" s="28">
        <v>0.95</v>
      </c>
      <c r="N6" s="28">
        <v>0.95</v>
      </c>
      <c r="O6" s="71" t="s">
        <v>127</v>
      </c>
      <c r="P6" s="29">
        <v>1</v>
      </c>
      <c r="Q6" s="29">
        <v>1</v>
      </c>
      <c r="R6" s="71" t="s">
        <v>127</v>
      </c>
      <c r="S6" s="30"/>
    </row>
    <row r="7" spans="1:23" s="10" customFormat="1" ht="21" customHeight="1" x14ac:dyDescent="0.2">
      <c r="A7" s="66" t="s">
        <v>49</v>
      </c>
      <c r="B7" s="67">
        <v>0</v>
      </c>
      <c r="C7" s="72" t="s">
        <v>127</v>
      </c>
      <c r="D7" s="72" t="s">
        <v>127</v>
      </c>
      <c r="E7" s="72" t="s">
        <v>127</v>
      </c>
      <c r="F7" s="72" t="s">
        <v>127</v>
      </c>
      <c r="G7" s="68">
        <v>0.45</v>
      </c>
      <c r="H7" s="72" t="s">
        <v>127</v>
      </c>
      <c r="I7" s="68">
        <v>0.99</v>
      </c>
      <c r="J7" s="68">
        <v>0.99</v>
      </c>
      <c r="K7" s="72" t="s">
        <v>127</v>
      </c>
      <c r="L7" s="72" t="s">
        <v>127</v>
      </c>
      <c r="M7" s="69">
        <v>0.98</v>
      </c>
      <c r="N7" s="69">
        <v>0.98</v>
      </c>
      <c r="O7" s="72" t="s">
        <v>127</v>
      </c>
      <c r="P7" s="70">
        <v>1</v>
      </c>
      <c r="Q7" s="70">
        <v>1</v>
      </c>
      <c r="R7" s="72" t="s">
        <v>127</v>
      </c>
    </row>
    <row r="8" spans="1:23" x14ac:dyDescent="0.25">
      <c r="A8" s="5" t="s">
        <v>149</v>
      </c>
    </row>
    <row r="9" spans="1:23" ht="15.75" x14ac:dyDescent="0.25">
      <c r="A9" s="10" t="s">
        <v>148</v>
      </c>
    </row>
  </sheetData>
  <sheetProtection algorithmName="SHA-512" hashValue="3RWE2MkydJ6SoFCPlvSas0frHiat0P5JeFwOHUTGRKjMaMEyxNEDwMJMPCyBDZ6rtqImDSTvcr07y6OoosjwHQ==" saltValue="H1TTc5iVq0y7k1IKMsyS0w==" spinCount="100000" sheet="1" objects="1" scenarios="1"/>
  <pageMargins left="0.7" right="0.7" top="0.75" bottom="0.75" header="0.3" footer="0.3"/>
  <pageSetup orientation="portrait" horizontalDpi="1200"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0"/>
  <sheetViews>
    <sheetView zoomScale="90" zoomScaleNormal="90" workbookViewId="0">
      <selection activeCell="C8" sqref="C8"/>
    </sheetView>
  </sheetViews>
  <sheetFormatPr defaultColWidth="8.85546875" defaultRowHeight="15" x14ac:dyDescent="0.2"/>
  <cols>
    <col min="1" max="1" width="38.42578125" style="19" customWidth="1"/>
    <col min="2" max="2" width="63" style="19" customWidth="1"/>
    <col min="3" max="3" width="38.140625" style="61" customWidth="1"/>
    <col min="4" max="4" width="12.28515625" style="19" customWidth="1"/>
    <col min="5" max="5" width="46.5703125" style="19" customWidth="1"/>
    <col min="6" max="16384" width="8.85546875" style="10"/>
  </cols>
  <sheetData>
    <row r="1" spans="1:5" s="42" customFormat="1" ht="15.75" x14ac:dyDescent="0.25">
      <c r="A1" s="51" t="s">
        <v>124</v>
      </c>
      <c r="B1" s="51"/>
      <c r="C1" s="52"/>
      <c r="D1" s="51"/>
      <c r="E1" s="51"/>
    </row>
    <row r="2" spans="1:5" ht="15.75" x14ac:dyDescent="0.2">
      <c r="A2" s="79" t="s">
        <v>25</v>
      </c>
      <c r="B2" s="80" t="s">
        <v>1</v>
      </c>
      <c r="C2" s="80" t="s">
        <v>111</v>
      </c>
      <c r="D2" s="80" t="s">
        <v>26</v>
      </c>
      <c r="E2" s="81" t="s">
        <v>27</v>
      </c>
    </row>
    <row r="3" spans="1:5" x14ac:dyDescent="0.2">
      <c r="A3" s="73" t="s">
        <v>29</v>
      </c>
      <c r="B3" s="20" t="s">
        <v>3</v>
      </c>
      <c r="C3" s="53">
        <f>'Other Default Inputs'!C3</f>
        <v>3</v>
      </c>
      <c r="D3" s="14" t="s">
        <v>0</v>
      </c>
      <c r="E3" s="74" t="s">
        <v>166</v>
      </c>
    </row>
    <row r="4" spans="1:5" ht="30" x14ac:dyDescent="0.2">
      <c r="A4" s="73" t="s">
        <v>29</v>
      </c>
      <c r="B4" s="20" t="s">
        <v>4</v>
      </c>
      <c r="C4" s="54">
        <f>C3*'Simplified User Inputs'!C3</f>
        <v>267.89999999999998</v>
      </c>
      <c r="D4" s="14" t="s">
        <v>122</v>
      </c>
      <c r="E4" s="100" t="s">
        <v>165</v>
      </c>
    </row>
    <row r="5" spans="1:5" ht="18" x14ac:dyDescent="0.2">
      <c r="A5" s="73" t="s">
        <v>97</v>
      </c>
      <c r="B5" s="20" t="s">
        <v>8</v>
      </c>
      <c r="C5" s="15">
        <f>'Other Default Inputs'!C4</f>
        <v>0.5</v>
      </c>
      <c r="D5" s="14" t="s">
        <v>109</v>
      </c>
      <c r="E5" s="74" t="s">
        <v>166</v>
      </c>
    </row>
    <row r="6" spans="1:5" x14ac:dyDescent="0.2">
      <c r="A6" s="73" t="s">
        <v>97</v>
      </c>
      <c r="B6" s="20" t="s">
        <v>12</v>
      </c>
      <c r="C6" s="55">
        <f>'Simplified User Inputs'!C4-'Simplified User Inputs'!C7</f>
        <v>26</v>
      </c>
      <c r="D6" s="14" t="s">
        <v>5</v>
      </c>
      <c r="E6" s="74" t="s">
        <v>167</v>
      </c>
    </row>
    <row r="7" spans="1:5" ht="18" x14ac:dyDescent="0.2">
      <c r="A7" s="73" t="s">
        <v>97</v>
      </c>
      <c r="B7" s="20" t="s">
        <v>52</v>
      </c>
      <c r="C7" s="15">
        <f>'Other Default Inputs'!C5</f>
        <v>1</v>
      </c>
      <c r="D7" s="14" t="s">
        <v>118</v>
      </c>
      <c r="E7" s="74" t="s">
        <v>166</v>
      </c>
    </row>
    <row r="8" spans="1:5" ht="31.5" x14ac:dyDescent="0.2">
      <c r="A8" s="73" t="s">
        <v>97</v>
      </c>
      <c r="B8" s="56" t="s">
        <v>64</v>
      </c>
      <c r="C8" s="21">
        <v>0</v>
      </c>
      <c r="D8" s="57" t="s">
        <v>145</v>
      </c>
      <c r="E8" s="76" t="s">
        <v>87</v>
      </c>
    </row>
    <row r="9" spans="1:5" ht="30" x14ac:dyDescent="0.2">
      <c r="A9" s="73" t="s">
        <v>97</v>
      </c>
      <c r="B9" s="20" t="s">
        <v>53</v>
      </c>
      <c r="C9" s="55">
        <f>IF('Simplified User Inputs'!C8=0,'Reference Case Definition'!C7,IF('Simplified User Inputs'!C8=1,'Reference Case Definition'!C7*(1-C8),"Input mask information"))</f>
        <v>1</v>
      </c>
      <c r="D9" s="14" t="s">
        <v>118</v>
      </c>
      <c r="E9" s="100" t="s">
        <v>165</v>
      </c>
    </row>
    <row r="10" spans="1:5" x14ac:dyDescent="0.2">
      <c r="A10" s="73" t="s">
        <v>34</v>
      </c>
      <c r="B10" s="20" t="s">
        <v>55</v>
      </c>
      <c r="C10" s="28">
        <f>'Other Default Inputs'!C7</f>
        <v>0.2</v>
      </c>
      <c r="D10" s="14" t="s">
        <v>113</v>
      </c>
      <c r="E10" s="74" t="s">
        <v>166</v>
      </c>
    </row>
    <row r="11" spans="1:5" x14ac:dyDescent="0.2">
      <c r="A11" s="73" t="s">
        <v>34</v>
      </c>
      <c r="B11" s="20" t="s">
        <v>56</v>
      </c>
      <c r="C11" s="28">
        <f>'Other Default Inputs'!C8</f>
        <v>0.3</v>
      </c>
      <c r="D11" s="14" t="s">
        <v>113</v>
      </c>
      <c r="E11" s="74" t="s">
        <v>166</v>
      </c>
    </row>
    <row r="12" spans="1:5" x14ac:dyDescent="0.2">
      <c r="A12" s="73" t="s">
        <v>34</v>
      </c>
      <c r="B12" s="20" t="s">
        <v>57</v>
      </c>
      <c r="C12" s="28">
        <f>'Other Default Inputs'!C9</f>
        <v>0.5</v>
      </c>
      <c r="D12" s="14" t="s">
        <v>113</v>
      </c>
      <c r="E12" s="74" t="s">
        <v>166</v>
      </c>
    </row>
    <row r="13" spans="1:5" x14ac:dyDescent="0.2">
      <c r="A13" s="73" t="s">
        <v>34</v>
      </c>
      <c r="B13" s="20" t="s">
        <v>58</v>
      </c>
      <c r="C13" s="28">
        <f>'Other Default Inputs'!C10</f>
        <v>0.2</v>
      </c>
      <c r="D13" s="14" t="s">
        <v>113</v>
      </c>
      <c r="E13" s="74" t="s">
        <v>166</v>
      </c>
    </row>
    <row r="14" spans="1:5" x14ac:dyDescent="0.2">
      <c r="A14" s="73" t="s">
        <v>34</v>
      </c>
      <c r="B14" s="20" t="s">
        <v>59</v>
      </c>
      <c r="C14" s="28">
        <f>'Other Default Inputs'!C11</f>
        <v>0.3</v>
      </c>
      <c r="D14" s="14" t="s">
        <v>113</v>
      </c>
      <c r="E14" s="74" t="s">
        <v>166</v>
      </c>
    </row>
    <row r="15" spans="1:5" x14ac:dyDescent="0.2">
      <c r="A15" s="73" t="s">
        <v>34</v>
      </c>
      <c r="B15" s="20" t="s">
        <v>60</v>
      </c>
      <c r="C15" s="28">
        <f>'Other Default Inputs'!C12</f>
        <v>0.5</v>
      </c>
      <c r="D15" s="14" t="s">
        <v>113</v>
      </c>
      <c r="E15" s="74" t="s">
        <v>166</v>
      </c>
    </row>
    <row r="16" spans="1:5" ht="47.25" x14ac:dyDescent="0.2">
      <c r="A16" s="73" t="s">
        <v>69</v>
      </c>
      <c r="B16" s="56" t="s">
        <v>70</v>
      </c>
      <c r="C16" s="8">
        <f>7*'Simplified User Inputs'!C4*3600/1000</f>
        <v>680.4</v>
      </c>
      <c r="D16" s="56" t="s">
        <v>125</v>
      </c>
      <c r="E16" s="78" t="s">
        <v>98</v>
      </c>
    </row>
    <row r="17" spans="1:5" ht="30" x14ac:dyDescent="0.2">
      <c r="A17" s="73" t="s">
        <v>69</v>
      </c>
      <c r="B17" s="20" t="s">
        <v>73</v>
      </c>
      <c r="C17" s="54">
        <f>C16/C4</f>
        <v>2.5397536394176932</v>
      </c>
      <c r="D17" s="14" t="s">
        <v>118</v>
      </c>
      <c r="E17" s="100" t="s">
        <v>150</v>
      </c>
    </row>
    <row r="18" spans="1:5" ht="30" x14ac:dyDescent="0.2">
      <c r="A18" s="73" t="s">
        <v>69</v>
      </c>
      <c r="B18" s="20" t="s">
        <v>71</v>
      </c>
      <c r="C18" s="58">
        <f>C4*C19</f>
        <v>53.58</v>
      </c>
      <c r="D18" s="14" t="s">
        <v>109</v>
      </c>
      <c r="E18" s="100" t="s">
        <v>168</v>
      </c>
    </row>
    <row r="19" spans="1:5" ht="30" x14ac:dyDescent="0.2">
      <c r="A19" s="73" t="s">
        <v>69</v>
      </c>
      <c r="B19" s="20" t="s">
        <v>72</v>
      </c>
      <c r="C19" s="53">
        <f>'Other Default Inputs'!C13</f>
        <v>0.2</v>
      </c>
      <c r="D19" s="14" t="s">
        <v>118</v>
      </c>
      <c r="E19" s="74" t="s">
        <v>166</v>
      </c>
    </row>
    <row r="20" spans="1:5" ht="30" x14ac:dyDescent="0.2">
      <c r="A20" s="73" t="s">
        <v>69</v>
      </c>
      <c r="B20" s="20" t="s">
        <v>85</v>
      </c>
      <c r="C20" s="58">
        <f>C16+C18</f>
        <v>733.98</v>
      </c>
      <c r="D20" s="14" t="s">
        <v>109</v>
      </c>
      <c r="E20" s="100" t="s">
        <v>154</v>
      </c>
    </row>
    <row r="21" spans="1:5" ht="30" x14ac:dyDescent="0.2">
      <c r="A21" s="73" t="s">
        <v>69</v>
      </c>
      <c r="B21" s="20" t="s">
        <v>86</v>
      </c>
      <c r="C21" s="54">
        <f>C20/C4</f>
        <v>2.7397536394176933</v>
      </c>
      <c r="D21" s="14" t="s">
        <v>2</v>
      </c>
      <c r="E21" s="100" t="s">
        <v>172</v>
      </c>
    </row>
    <row r="22" spans="1:5" ht="18" x14ac:dyDescent="0.2">
      <c r="A22" s="73" t="s">
        <v>31</v>
      </c>
      <c r="B22" s="20" t="s">
        <v>13</v>
      </c>
      <c r="C22" s="53">
        <f>'Other Default Inputs'!C14</f>
        <v>0.14000000000000001</v>
      </c>
      <c r="D22" s="14" t="s">
        <v>118</v>
      </c>
      <c r="E22" s="74" t="s">
        <v>166</v>
      </c>
    </row>
    <row r="23" spans="1:5" ht="18" x14ac:dyDescent="0.2">
      <c r="A23" s="73" t="s">
        <v>31</v>
      </c>
      <c r="B23" s="20" t="s">
        <v>14</v>
      </c>
      <c r="C23" s="53">
        <f>'Other Default Inputs'!C15</f>
        <v>0.28999999999999998</v>
      </c>
      <c r="D23" s="14" t="s">
        <v>118</v>
      </c>
      <c r="E23" s="74" t="s">
        <v>166</v>
      </c>
    </row>
    <row r="24" spans="1:5" ht="18" x14ac:dyDescent="0.2">
      <c r="A24" s="73" t="s">
        <v>31</v>
      </c>
      <c r="B24" s="20" t="s">
        <v>15</v>
      </c>
      <c r="C24" s="53">
        <f>'Other Default Inputs'!C16</f>
        <v>0.91</v>
      </c>
      <c r="D24" s="14" t="s">
        <v>118</v>
      </c>
      <c r="E24" s="74" t="s">
        <v>166</v>
      </c>
    </row>
    <row r="25" spans="1:5" ht="30" x14ac:dyDescent="0.2">
      <c r="A25" s="73" t="s">
        <v>31</v>
      </c>
      <c r="B25" s="20" t="s">
        <v>16</v>
      </c>
      <c r="C25" s="54">
        <f>'Other Calculations'!C11</f>
        <v>0.57000000000000006</v>
      </c>
      <c r="D25" s="14" t="s">
        <v>118</v>
      </c>
      <c r="E25" s="100" t="s">
        <v>169</v>
      </c>
    </row>
    <row r="26" spans="1:5" ht="18" x14ac:dyDescent="0.2">
      <c r="A26" s="73" t="s">
        <v>32</v>
      </c>
      <c r="B26" s="20" t="s">
        <v>65</v>
      </c>
      <c r="C26" s="59">
        <f>'Other Default Inputs'!C17</f>
        <v>6</v>
      </c>
      <c r="D26" s="14" t="s">
        <v>118</v>
      </c>
      <c r="E26" s="74" t="s">
        <v>166</v>
      </c>
    </row>
    <row r="27" spans="1:5" x14ac:dyDescent="0.2">
      <c r="A27" s="73" t="s">
        <v>32</v>
      </c>
      <c r="B27" s="20" t="s">
        <v>61</v>
      </c>
      <c r="C27" s="28">
        <f>'Other Default Inputs'!C18</f>
        <v>1</v>
      </c>
      <c r="D27" s="14" t="s">
        <v>113</v>
      </c>
      <c r="E27" s="74" t="s">
        <v>166</v>
      </c>
    </row>
    <row r="28" spans="1:5" ht="30" x14ac:dyDescent="0.2">
      <c r="A28" s="73" t="s">
        <v>32</v>
      </c>
      <c r="B28" s="20" t="s">
        <v>7</v>
      </c>
      <c r="C28" s="58">
        <f>C26*C4</f>
        <v>1607.3999999999999</v>
      </c>
      <c r="D28" s="14" t="s">
        <v>109</v>
      </c>
      <c r="E28" s="100" t="s">
        <v>169</v>
      </c>
    </row>
    <row r="29" spans="1:5" ht="30" x14ac:dyDescent="0.2">
      <c r="A29" s="73" t="s">
        <v>32</v>
      </c>
      <c r="B29" s="20" t="s">
        <v>66</v>
      </c>
      <c r="C29" s="60">
        <f>(C28-C16)/C28</f>
        <v>0.57670772676371773</v>
      </c>
      <c r="D29" s="14" t="s">
        <v>113</v>
      </c>
      <c r="E29" s="100" t="s">
        <v>156</v>
      </c>
    </row>
    <row r="30" spans="1:5" ht="31.5" x14ac:dyDescent="0.2">
      <c r="A30" s="73" t="s">
        <v>32</v>
      </c>
      <c r="B30" s="57" t="s">
        <v>17</v>
      </c>
      <c r="C30" s="21">
        <v>0.14833333333333332</v>
      </c>
      <c r="D30" s="57" t="s">
        <v>113</v>
      </c>
      <c r="E30" s="76" t="s">
        <v>80</v>
      </c>
    </row>
    <row r="31" spans="1:5" ht="31.5" x14ac:dyDescent="0.2">
      <c r="A31" s="73" t="s">
        <v>32</v>
      </c>
      <c r="B31" s="57" t="s">
        <v>18</v>
      </c>
      <c r="C31" s="21">
        <v>0.27499999999999997</v>
      </c>
      <c r="D31" s="57" t="s">
        <v>113</v>
      </c>
      <c r="E31" s="76" t="s">
        <v>80</v>
      </c>
    </row>
    <row r="32" spans="1:5" ht="31.5" x14ac:dyDescent="0.2">
      <c r="A32" s="73" t="s">
        <v>32</v>
      </c>
      <c r="B32" s="57" t="s">
        <v>19</v>
      </c>
      <c r="C32" s="21">
        <v>0.7</v>
      </c>
      <c r="D32" s="57" t="s">
        <v>113</v>
      </c>
      <c r="E32" s="76" t="s">
        <v>80</v>
      </c>
    </row>
    <row r="33" spans="1:5" ht="90" x14ac:dyDescent="0.2">
      <c r="A33" s="73" t="s">
        <v>32</v>
      </c>
      <c r="B33" s="20" t="s">
        <v>20</v>
      </c>
      <c r="C33" s="54">
        <f>C$28*C$29*C30*C$27/C$4</f>
        <v>0.5132698768197087</v>
      </c>
      <c r="D33" s="14" t="s">
        <v>118</v>
      </c>
      <c r="E33" s="85" t="s">
        <v>162</v>
      </c>
    </row>
    <row r="34" spans="1:5" ht="90" x14ac:dyDescent="0.2">
      <c r="A34" s="73" t="s">
        <v>32</v>
      </c>
      <c r="B34" s="20" t="s">
        <v>21</v>
      </c>
      <c r="C34" s="54">
        <f>C$28*C$29*C31*C$27/C$4</f>
        <v>0.95156774916013409</v>
      </c>
      <c r="D34" s="14" t="s">
        <v>118</v>
      </c>
      <c r="E34" s="85" t="s">
        <v>163</v>
      </c>
    </row>
    <row r="35" spans="1:5" ht="90" x14ac:dyDescent="0.2">
      <c r="A35" s="73" t="s">
        <v>32</v>
      </c>
      <c r="B35" s="20" t="s">
        <v>22</v>
      </c>
      <c r="C35" s="54">
        <f>C$28*C$29*C32*C$27/C$4</f>
        <v>2.4221724524076143</v>
      </c>
      <c r="D35" s="14" t="s">
        <v>118</v>
      </c>
      <c r="E35" s="85" t="s">
        <v>164</v>
      </c>
    </row>
    <row r="36" spans="1:5" ht="30" x14ac:dyDescent="0.2">
      <c r="A36" s="73" t="s">
        <v>32</v>
      </c>
      <c r="B36" s="20" t="s">
        <v>38</v>
      </c>
      <c r="C36" s="54">
        <f>C10*C33+C11*C34+C12*C35</f>
        <v>1.599210526315789</v>
      </c>
      <c r="D36" s="14" t="s">
        <v>118</v>
      </c>
      <c r="E36" s="100" t="s">
        <v>171</v>
      </c>
    </row>
    <row r="37" spans="1:5" ht="31.5" x14ac:dyDescent="0.2">
      <c r="A37" s="73" t="s">
        <v>79</v>
      </c>
      <c r="B37" s="56" t="s">
        <v>40</v>
      </c>
      <c r="C37" s="9">
        <v>0</v>
      </c>
      <c r="D37" s="56" t="s">
        <v>126</v>
      </c>
      <c r="E37" s="78" t="s">
        <v>81</v>
      </c>
    </row>
    <row r="38" spans="1:5" ht="31.5" x14ac:dyDescent="0.2">
      <c r="A38" s="73" t="s">
        <v>79</v>
      </c>
      <c r="B38" s="56" t="s">
        <v>41</v>
      </c>
      <c r="C38" s="9">
        <v>0</v>
      </c>
      <c r="D38" s="56" t="s">
        <v>126</v>
      </c>
      <c r="E38" s="78" t="s">
        <v>81</v>
      </c>
    </row>
    <row r="39" spans="1:5" ht="31.5" x14ac:dyDescent="0.2">
      <c r="A39" s="73" t="s">
        <v>79</v>
      </c>
      <c r="B39" s="56" t="s">
        <v>42</v>
      </c>
      <c r="C39" s="9">
        <v>0</v>
      </c>
      <c r="D39" s="56" t="s">
        <v>126</v>
      </c>
      <c r="E39" s="78" t="s">
        <v>81</v>
      </c>
    </row>
    <row r="40" spans="1:5" ht="30" x14ac:dyDescent="0.2">
      <c r="A40" s="49" t="s">
        <v>79</v>
      </c>
      <c r="B40" s="82" t="s">
        <v>39</v>
      </c>
      <c r="C40" s="83">
        <f>C13*C37+C14*C38+C15*C39</f>
        <v>0</v>
      </c>
      <c r="D40" s="45" t="s">
        <v>123</v>
      </c>
      <c r="E40" s="20" t="s">
        <v>170</v>
      </c>
    </row>
  </sheetData>
  <sheetProtection algorithmName="SHA-512" hashValue="wFIFF+xarV1zN9neDeaBSEC5x0609Odq5V+BzIPNB5foWvsLbXGFAVWfHjO0EjTCVCUJRQeoSU2GWrtPxfRtdg==" saltValue="qyzRL4F9yma2PP1lEusXKg==" spinCount="100000" sheet="1" objects="1" scenarios="1"/>
  <printOptions horizontalCentered="1"/>
  <pageMargins left="0.7" right="0.7" top="0.75" bottom="0.75" header="0.3" footer="0.3"/>
  <pageSetup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DPH Document" ma:contentTypeID="0x0101002CC577673628EB48993F371F1850BF7D009E933CC4A14BF5489661D2F26EE07642" ma:contentTypeVersion="" ma:contentTypeDescription="Create a new document." ma:contentTypeScope="" ma:versionID="1b84dc3196bb75941adc189cd0ab4152">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eb3c010d8c6ce3c52cb30649e970328c"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2:News_x0020_Highlight" minOccurs="0"/>
                <xsd:element ref="ns2:Health_x0020_Alert"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1"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2"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element name="News_x0020_Highlight" ma:index="18" nillable="true" ma:displayName="News Highlight" ma:description="If checked, this page will be displayed in news highlight section " ma:internalName="News_x0020_Highlight">
      <xsd:simpleType>
        <xsd:restriction base="dms:Boolean"/>
      </xsd:simpleType>
    </xsd:element>
    <xsd:element name="Health_x0020_Alert" ma:index="19" nillable="true" ma:displayName="Health Alert" ma:description="If checked, this page will be displayed in health alert section" ma:internalName="Health_x0020_Aler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ews_x0020_Highlight xmlns="a48324c4-7d20-48d3-8188-32763737222b">false</News_x0020_Highligh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Community Based Organization</TermName>
          <TermId xmlns="http://schemas.microsoft.com/office/infopath/2007/PartnerControls">36af281b-a546-4033-90fb-79469fe234da</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s>
    </off2d280d04f435e8ad65f64297220d7>
    <Health_x0020_Alert xmlns="a48324c4-7d20-48d3-8188-32763737222b">false</Health_x0020_Alert>
    <TaxCatchAll xmlns="a48324c4-7d20-48d3-8188-32763737222b">
      <Value>288</Value>
      <Value>489</Value>
      <Value>115</Value>
      <Value>230</Value>
      <Value>97</Value>
      <Value>114</Value>
      <Value>124</Value>
      <Value>191</Value>
      <Value>241</Value>
      <Value>290</Value>
    </TaxCatchAll>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Infectious Diseases</TermName>
          <TermId xmlns="http://schemas.microsoft.com/office/infopath/2007/PartnerControls">cf067396-8ccc-4210-9f63-22e79836aa52</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Viral Diseases</TermName>
          <TermId xmlns="http://schemas.microsoft.com/office/infopath/2007/PartnerControls">7a4f8bbf-8d9f-46bc-b54a-49e5408c7a97</TermId>
        </TermInfo>
        <TermInfo xmlns="http://schemas.microsoft.com/office/infopath/2007/PartnerControls">
          <TermName xmlns="http://schemas.microsoft.com/office/infopath/2007/PartnerControls">Environmental</TermName>
          <TermId xmlns="http://schemas.microsoft.com/office/infopath/2007/PartnerControls">49e349ec-3583-43fb-a805-6adcc310e7ea</TermId>
        </TermInfo>
        <TermInfo xmlns="http://schemas.microsoft.com/office/infopath/2007/PartnerControls">
          <TermName xmlns="http://schemas.microsoft.com/office/infopath/2007/PartnerControls">Air Quality</TermName>
          <TermId xmlns="http://schemas.microsoft.com/office/infopath/2007/PartnerControls">500e2628-7898-47af-b21a-6bc607fdfebb</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Center for Chronic Disease Prevention and Health Promotion</TermName>
          <TermId xmlns="http://schemas.microsoft.com/office/infopath/2007/PartnerControls">05bc521c-d973-42e7-be11-b6bb76375707</TermId>
        </TermInfo>
        <TermInfo xmlns="http://schemas.microsoft.com/office/infopath/2007/PartnerControls">
          <TermName xmlns="http://schemas.microsoft.com/office/infopath/2007/PartnerControls">Environmental and Occupational Disease Control</TermName>
          <TermId xmlns="http://schemas.microsoft.com/office/infopath/2007/PartnerControls">73f1b0e5-a03c-4136-a95e-33b7a05ad638</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CD31AFF-ADFC-46E8-B1D5-2236A0B729BB}"/>
</file>

<file path=customXml/itemProps2.xml><?xml version="1.0" encoding="utf-8"?>
<ds:datastoreItem xmlns:ds="http://schemas.openxmlformats.org/officeDocument/2006/customXml" ds:itemID="{EB8F0323-F417-448A-9343-A93B2FCBC038}"/>
</file>

<file path=customXml/itemProps3.xml><?xml version="1.0" encoding="utf-8"?>
<ds:datastoreItem xmlns:ds="http://schemas.openxmlformats.org/officeDocument/2006/customXml" ds:itemID="{E3398249-A4B5-4C9D-8D06-D9BD3BD0BD8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8</vt:i4>
      </vt:variant>
    </vt:vector>
  </HeadingPairs>
  <TitlesOfParts>
    <vt:vector size="8" baseType="lpstr">
      <vt:lpstr>Disclaimer</vt:lpstr>
      <vt:lpstr>Model Outputs</vt:lpstr>
      <vt:lpstr>Simplified User Inputs</vt:lpstr>
      <vt:lpstr>Other Default Inputs</vt:lpstr>
      <vt:lpstr>Other Calculations</vt:lpstr>
      <vt:lpstr>Simplified MERV Table </vt:lpstr>
      <vt:lpstr>Data Source for MERV Table</vt:lpstr>
      <vt:lpstr>Reference Case Definition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2020-06-12T22:22:24Z</cp:lastPrinted>
  <dcterms:created xsi:type="dcterms:W3CDTF">2019-07-16T20:39:31Z</dcterms:created>
  <dcterms:modified xsi:type="dcterms:W3CDTF">2020-09-10T16:32:45Z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0x0101002CC577673628EB48993F371F1850BF7D009E933CC4A14BF5489661D2F26EE07642</vt:lpwstr>
  </property>
  <property fmtid="{D5CDD505-2E9C-101B-9397-08002B2CF9AE}" pid="3" name="Order">
    <vt:r8>90100</vt:r8>
  </property>
  <property fmtid="{D5CDD505-2E9C-101B-9397-08002B2CF9AE}" pid="4" name="xd_ProgID">
    <vt:lpwstr/>
  </property>
  <property fmtid="{D5CDD505-2E9C-101B-9397-08002B2CF9AE}" pid="5" name="_CopySource">
    <vt:lpwstr>https://my.cdph.ca.gov/sites/ehlb/IAQ/Shared Documents/SARS-CoV-2/Interactive model with scenario analysis result-R1-071520.xlsx</vt:lpwstr>
  </property>
  <property fmtid="{D5CDD505-2E9C-101B-9397-08002B2CF9AE}" pid="6" name="TemplateUrl">
    <vt:lpwstr/>
  </property>
  <property fmtid="{D5CDD505-2E9C-101B-9397-08002B2CF9AE}" pid="7" name="Content Language">
    <vt:lpwstr>97;#English (United States)|25e340a5-d50c-48d7-adc0-a905fb7bff5c</vt:lpwstr>
  </property>
  <property fmtid="{D5CDD505-2E9C-101B-9397-08002B2CF9AE}" pid="8" name="Topic">
    <vt:lpwstr>241;#Infectious Diseases|cf067396-8ccc-4210-9f63-22e79836aa52;#290;#Influenza|c33693be-24bc-4c6a-beef-fd746f0c1c5e;#288;#Viral Diseases|7a4f8bbf-8d9f-46bc-b54a-49e5408c7a97;#230;#Environmental|49e349ec-3583-43fb-a805-6adcc310e7ea;#489;#Air Quality|500e2628-7898-47af-b21a-6bc607fdfebb</vt:lpwstr>
  </property>
  <property fmtid="{D5CDD505-2E9C-101B-9397-08002B2CF9AE}" pid="9" name="CDPH Audience">
    <vt:lpwstr>191;#Community Based Organization|36af281b-a546-4033-90fb-79469fe234da;#124;#Researchers/Statisticians|1fa682ba-87e4-4b69-9e7e-563bd0b9b893</vt:lpwstr>
  </property>
  <property fmtid="{D5CDD505-2E9C-101B-9397-08002B2CF9AE}" pid="10" name="Program">
    <vt:lpwstr>115;#Center for Chronic Disease Prevention and Health Promotion|05bc521c-d973-42e7-be11-b6bb76375707;#114;#Environmental and Occupational Disease Control|73f1b0e5-a03c-4136-a95e-33b7a05ad638</vt:lpwstr>
  </property>
</Properties>
</file>